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K179" i="1" l="1"/>
  <c r="AJ179" i="1"/>
  <c r="AI179" i="1"/>
  <c r="AK178" i="1"/>
  <c r="AJ178" i="1"/>
  <c r="AI178" i="1"/>
  <c r="AK176" i="1"/>
  <c r="AJ176" i="1"/>
  <c r="AI176" i="1"/>
  <c r="AG176" i="1"/>
  <c r="AF176" i="1"/>
  <c r="AE176" i="1"/>
  <c r="AC176" i="1"/>
  <c r="AB176" i="1"/>
  <c r="AA176" i="1"/>
  <c r="Y176" i="1"/>
  <c r="X176" i="1"/>
  <c r="W176" i="1"/>
  <c r="AK175" i="1"/>
  <c r="AJ175" i="1"/>
  <c r="AI175" i="1"/>
  <c r="AG175" i="1"/>
  <c r="AF175" i="1"/>
  <c r="AE175" i="1"/>
  <c r="AC175" i="1"/>
  <c r="AB175" i="1"/>
  <c r="AA175" i="1"/>
  <c r="Y175" i="1"/>
  <c r="X175" i="1"/>
  <c r="W175" i="1"/>
  <c r="AK174" i="1"/>
  <c r="AJ174" i="1"/>
  <c r="AI174" i="1"/>
  <c r="AG174" i="1"/>
  <c r="AF174" i="1"/>
  <c r="AE174" i="1"/>
  <c r="AC174" i="1"/>
  <c r="AB174" i="1"/>
  <c r="AA174" i="1"/>
  <c r="Y174" i="1"/>
  <c r="X174" i="1"/>
  <c r="W174" i="1"/>
  <c r="U173" i="1"/>
  <c r="T173" i="1"/>
  <c r="S173" i="1"/>
  <c r="Q173" i="1"/>
  <c r="P173" i="1"/>
  <c r="O173" i="1"/>
  <c r="M173" i="1"/>
  <c r="L173" i="1"/>
  <c r="K173" i="1"/>
  <c r="I173" i="1"/>
  <c r="H173" i="1"/>
  <c r="G173" i="1"/>
  <c r="AK172" i="1"/>
  <c r="AJ172" i="1"/>
  <c r="AI172" i="1"/>
  <c r="AG172" i="1"/>
  <c r="AF172" i="1"/>
  <c r="AE172" i="1"/>
  <c r="U171" i="1"/>
  <c r="T171" i="1"/>
  <c r="S171" i="1"/>
  <c r="Q171" i="1"/>
  <c r="P171" i="1"/>
  <c r="O171" i="1"/>
  <c r="M171" i="1"/>
  <c r="L171" i="1"/>
  <c r="K171" i="1"/>
  <c r="I171" i="1"/>
  <c r="H171" i="1"/>
  <c r="G171" i="1"/>
  <c r="U170" i="1"/>
  <c r="T170" i="1"/>
  <c r="S170" i="1"/>
  <c r="Q170" i="1"/>
  <c r="P170" i="1"/>
  <c r="O170" i="1"/>
  <c r="M170" i="1"/>
  <c r="L170" i="1"/>
  <c r="K170" i="1"/>
  <c r="I170" i="1"/>
  <c r="H170" i="1"/>
  <c r="G170" i="1"/>
  <c r="AK169" i="1"/>
  <c r="AJ169" i="1"/>
  <c r="AI169" i="1"/>
  <c r="AC169" i="1"/>
  <c r="AB169" i="1"/>
  <c r="AA169" i="1"/>
  <c r="Y169" i="1"/>
  <c r="X169" i="1"/>
  <c r="W169" i="1"/>
  <c r="U168" i="1"/>
  <c r="T168" i="1"/>
  <c r="S168" i="1"/>
  <c r="Q168" i="1"/>
  <c r="P168" i="1"/>
  <c r="O168" i="1"/>
  <c r="M168" i="1"/>
  <c r="L168" i="1"/>
  <c r="K168" i="1"/>
  <c r="I168" i="1"/>
  <c r="H168" i="1"/>
  <c r="G168" i="1"/>
  <c r="U167" i="1"/>
  <c r="T167" i="1"/>
  <c r="S167" i="1"/>
  <c r="M167" i="1"/>
  <c r="L167" i="1"/>
  <c r="K167" i="1"/>
  <c r="I167" i="1"/>
  <c r="H167" i="1"/>
  <c r="G167" i="1"/>
  <c r="AG166" i="1"/>
  <c r="AF166" i="1"/>
  <c r="AE166" i="1"/>
  <c r="AC166" i="1"/>
  <c r="AB166" i="1"/>
  <c r="AA166" i="1"/>
  <c r="Y166" i="1"/>
  <c r="X166" i="1"/>
  <c r="W166" i="1"/>
  <c r="AG165" i="1"/>
  <c r="AF165" i="1"/>
  <c r="AE165" i="1"/>
  <c r="AC165" i="1"/>
  <c r="AB165" i="1"/>
  <c r="AA165" i="1"/>
  <c r="Y165" i="1"/>
  <c r="X165" i="1"/>
  <c r="W165" i="1"/>
  <c r="AG164" i="1"/>
  <c r="AF164" i="1"/>
  <c r="AE164" i="1"/>
  <c r="AC164" i="1"/>
  <c r="AB164" i="1"/>
  <c r="AA164" i="1"/>
  <c r="Y164" i="1"/>
  <c r="X164" i="1"/>
  <c r="W164" i="1"/>
  <c r="AG163" i="1"/>
  <c r="AF163" i="1"/>
  <c r="AE163" i="1"/>
  <c r="AG162" i="1"/>
  <c r="AF162" i="1"/>
  <c r="AE162" i="1"/>
  <c r="AG161" i="1"/>
  <c r="AF161" i="1"/>
  <c r="AE161" i="1"/>
  <c r="AG160" i="1"/>
  <c r="AF160" i="1"/>
  <c r="AE160" i="1"/>
  <c r="AC160" i="1"/>
  <c r="AB160" i="1"/>
  <c r="AA160" i="1"/>
  <c r="Y160" i="1"/>
  <c r="X160" i="1"/>
  <c r="W160" i="1"/>
  <c r="AK159" i="1"/>
  <c r="AJ159" i="1"/>
  <c r="AI159" i="1"/>
  <c r="AG159" i="1"/>
  <c r="AF159" i="1"/>
  <c r="AE159" i="1"/>
  <c r="AK158" i="1"/>
  <c r="AJ158" i="1"/>
  <c r="AI158" i="1"/>
  <c r="AG158" i="1"/>
  <c r="AF158" i="1"/>
  <c r="AE158" i="1"/>
  <c r="AK157" i="1"/>
  <c r="AJ157" i="1"/>
  <c r="AI157" i="1"/>
  <c r="AG157" i="1"/>
  <c r="AF157" i="1"/>
  <c r="AE157" i="1"/>
  <c r="AG156" i="1"/>
  <c r="AF156" i="1"/>
  <c r="AE156" i="1"/>
  <c r="I155" i="1"/>
  <c r="H155" i="1"/>
  <c r="G155" i="1"/>
  <c r="AK154" i="1"/>
  <c r="AJ154" i="1"/>
  <c r="AI154" i="1"/>
  <c r="AK153" i="1"/>
  <c r="AJ153" i="1"/>
  <c r="AI153" i="1"/>
  <c r="AG152" i="1"/>
  <c r="AF152" i="1"/>
  <c r="AE152" i="1"/>
  <c r="AC152" i="1"/>
  <c r="AB152" i="1"/>
  <c r="AA152" i="1"/>
  <c r="Y152" i="1"/>
  <c r="X152" i="1"/>
  <c r="W152" i="1"/>
  <c r="AG151" i="1"/>
  <c r="AF151" i="1"/>
  <c r="AE151" i="1"/>
  <c r="AC151" i="1"/>
  <c r="AB151" i="1"/>
  <c r="AA151" i="1"/>
  <c r="Y151" i="1"/>
  <c r="X151" i="1"/>
  <c r="W151" i="1"/>
  <c r="T150" i="1"/>
  <c r="S150" i="1"/>
  <c r="P150" i="1"/>
  <c r="O150" i="1"/>
  <c r="L150" i="1"/>
  <c r="K150" i="1"/>
  <c r="H150" i="1"/>
  <c r="G150" i="1"/>
  <c r="U149" i="1"/>
  <c r="T149" i="1"/>
  <c r="S149" i="1"/>
  <c r="Q149" i="1"/>
  <c r="P149" i="1"/>
  <c r="O149" i="1"/>
  <c r="M149" i="1"/>
  <c r="L149" i="1"/>
  <c r="K149" i="1"/>
  <c r="I149" i="1"/>
  <c r="H149" i="1"/>
  <c r="G149" i="1"/>
  <c r="U148" i="1"/>
  <c r="T148" i="1"/>
  <c r="S148" i="1"/>
  <c r="O148" i="1"/>
  <c r="P148" i="1" s="1"/>
  <c r="Q148" i="1" s="1"/>
  <c r="M148" i="1"/>
  <c r="L148" i="1"/>
  <c r="K148" i="1"/>
  <c r="I148" i="1"/>
  <c r="H148" i="1"/>
  <c r="G148" i="1"/>
  <c r="AK147" i="1"/>
  <c r="AJ147" i="1"/>
  <c r="AI147" i="1"/>
  <c r="AG147" i="1"/>
  <c r="AF147" i="1"/>
  <c r="AE147" i="1"/>
  <c r="AK146" i="1"/>
  <c r="AJ146" i="1"/>
  <c r="AI146" i="1"/>
  <c r="AG146" i="1"/>
  <c r="AF146" i="1"/>
  <c r="AE146" i="1"/>
  <c r="AC146" i="1"/>
  <c r="AB146" i="1"/>
  <c r="AA146" i="1"/>
  <c r="Y146" i="1"/>
  <c r="X146" i="1"/>
  <c r="W146" i="1"/>
  <c r="AG145" i="1"/>
  <c r="AF145" i="1"/>
  <c r="AE145" i="1"/>
  <c r="AC145" i="1"/>
  <c r="AB145" i="1"/>
  <c r="AA145" i="1"/>
  <c r="Y145" i="1"/>
  <c r="X145" i="1"/>
  <c r="W145" i="1"/>
  <c r="AG144" i="1"/>
  <c r="AF144" i="1"/>
  <c r="AE144" i="1"/>
  <c r="AC144" i="1"/>
  <c r="AB144" i="1"/>
  <c r="AA144" i="1"/>
  <c r="Y144" i="1"/>
  <c r="X144" i="1"/>
  <c r="W144" i="1"/>
  <c r="AK143" i="1"/>
  <c r="AJ143" i="1"/>
  <c r="AI143" i="1"/>
  <c r="AG143" i="1"/>
  <c r="AF143" i="1"/>
  <c r="AE143" i="1"/>
  <c r="AC143" i="1"/>
  <c r="AB143" i="1"/>
  <c r="AA143" i="1"/>
  <c r="Y143" i="1"/>
  <c r="X143" i="1"/>
  <c r="W143" i="1"/>
  <c r="U142" i="1"/>
  <c r="T142" i="1"/>
  <c r="S142" i="1"/>
  <c r="Q142" i="1"/>
  <c r="P142" i="1"/>
  <c r="O142" i="1"/>
  <c r="M142" i="1"/>
  <c r="L142" i="1"/>
  <c r="K142" i="1"/>
  <c r="I142" i="1"/>
  <c r="H142" i="1"/>
  <c r="G142" i="1"/>
  <c r="AK141" i="1"/>
  <c r="AJ141" i="1"/>
  <c r="AI141" i="1"/>
  <c r="AG141" i="1"/>
  <c r="AF141" i="1"/>
  <c r="AE141" i="1"/>
  <c r="AK140" i="1"/>
  <c r="AJ140" i="1"/>
  <c r="AI140" i="1"/>
  <c r="AG140" i="1"/>
  <c r="AF140" i="1"/>
  <c r="AE140" i="1"/>
  <c r="AG139" i="1"/>
  <c r="AF139" i="1"/>
  <c r="AE139" i="1"/>
  <c r="AG138" i="1"/>
  <c r="AF138" i="1"/>
  <c r="AE138" i="1"/>
  <c r="AC138" i="1"/>
  <c r="AB138" i="1"/>
  <c r="AA138" i="1"/>
  <c r="Y138" i="1"/>
  <c r="X138" i="1"/>
  <c r="W138" i="1"/>
  <c r="AG137" i="1"/>
  <c r="AF137" i="1"/>
  <c r="AE137" i="1"/>
  <c r="T136" i="1"/>
  <c r="P136" i="1"/>
  <c r="L136" i="1"/>
  <c r="H136" i="1"/>
  <c r="T135" i="1"/>
  <c r="P135" i="1"/>
  <c r="L135" i="1"/>
  <c r="H135" i="1"/>
  <c r="AG134" i="1"/>
  <c r="AF134" i="1"/>
  <c r="AE134" i="1"/>
  <c r="U133" i="1"/>
  <c r="T133" i="1"/>
  <c r="S133" i="1"/>
  <c r="Q133" i="1"/>
  <c r="P133" i="1"/>
  <c r="O133" i="1"/>
  <c r="M133" i="1"/>
  <c r="L133" i="1"/>
  <c r="K133" i="1"/>
  <c r="I133" i="1"/>
  <c r="H133" i="1"/>
  <c r="G133" i="1"/>
  <c r="AK132" i="1"/>
  <c r="AJ132" i="1"/>
  <c r="AI132" i="1"/>
  <c r="AK130" i="1"/>
  <c r="AJ130" i="1"/>
  <c r="AI130" i="1"/>
  <c r="AG129" i="1"/>
  <c r="AF129" i="1"/>
  <c r="AE129" i="1"/>
  <c r="AK128" i="1"/>
  <c r="AJ128" i="1"/>
  <c r="AI128" i="1"/>
  <c r="AG128" i="1"/>
  <c r="AF128" i="1"/>
  <c r="AE128" i="1"/>
  <c r="AK127" i="1"/>
  <c r="AJ127" i="1"/>
  <c r="AI127" i="1"/>
  <c r="AG127" i="1"/>
  <c r="AF127" i="1"/>
  <c r="AE127" i="1"/>
  <c r="AK126" i="1"/>
  <c r="AJ126" i="1"/>
  <c r="AI126" i="1"/>
  <c r="AC126" i="1"/>
  <c r="AB126" i="1"/>
  <c r="AA126" i="1"/>
  <c r="AK125" i="1"/>
  <c r="AJ125" i="1"/>
  <c r="AI125" i="1"/>
  <c r="AG125" i="1"/>
  <c r="AF125" i="1"/>
  <c r="AE125" i="1"/>
  <c r="AC125" i="1"/>
  <c r="AB125" i="1"/>
  <c r="AA125" i="1"/>
  <c r="Y125" i="1"/>
  <c r="X125" i="1"/>
  <c r="W125" i="1"/>
  <c r="AG124" i="1"/>
  <c r="AF124" i="1"/>
  <c r="AE124" i="1"/>
  <c r="AC124" i="1"/>
  <c r="AB124" i="1"/>
  <c r="AA124" i="1"/>
  <c r="Y124" i="1"/>
  <c r="X124" i="1"/>
  <c r="W124" i="1"/>
  <c r="AJ123" i="1"/>
  <c r="AI123" i="1"/>
  <c r="P122" i="1"/>
  <c r="AI121" i="1"/>
  <c r="AF121" i="1"/>
  <c r="AE121" i="1"/>
  <c r="AB121" i="1"/>
  <c r="AA121" i="1"/>
  <c r="X121" i="1"/>
  <c r="W121" i="1"/>
  <c r="U120" i="1"/>
  <c r="T120" i="1"/>
  <c r="S120" i="1"/>
  <c r="M120" i="1"/>
  <c r="L120" i="1"/>
  <c r="K120" i="1"/>
  <c r="I120" i="1"/>
  <c r="H120" i="1"/>
  <c r="G120" i="1"/>
  <c r="U119" i="1"/>
  <c r="T119" i="1"/>
  <c r="S119" i="1"/>
  <c r="Q119" i="1"/>
  <c r="P119" i="1"/>
  <c r="O119" i="1"/>
  <c r="M119" i="1"/>
  <c r="L119" i="1"/>
  <c r="K119" i="1"/>
  <c r="I119" i="1"/>
  <c r="H119" i="1"/>
  <c r="G119" i="1"/>
  <c r="U118" i="1"/>
  <c r="T118" i="1"/>
  <c r="S118" i="1"/>
  <c r="Q118" i="1"/>
  <c r="P118" i="1"/>
  <c r="O118" i="1"/>
  <c r="M118" i="1"/>
  <c r="L118" i="1"/>
  <c r="K118" i="1"/>
  <c r="I118" i="1"/>
  <c r="H118" i="1"/>
  <c r="G118" i="1"/>
  <c r="AG117" i="1"/>
  <c r="AF117" i="1"/>
  <c r="AE117" i="1"/>
  <c r="AC117" i="1"/>
  <c r="AB117" i="1"/>
  <c r="AA117" i="1"/>
  <c r="Y117" i="1"/>
  <c r="X117" i="1"/>
  <c r="W117" i="1"/>
  <c r="U117" i="1"/>
  <c r="T117" i="1"/>
  <c r="S117" i="1"/>
  <c r="M117" i="1"/>
  <c r="L117" i="1"/>
  <c r="K117" i="1"/>
  <c r="I117" i="1"/>
  <c r="H117" i="1"/>
  <c r="G117" i="1"/>
  <c r="AK116" i="1"/>
  <c r="AJ116" i="1"/>
  <c r="AI116" i="1"/>
  <c r="AK115" i="1"/>
  <c r="AJ115" i="1"/>
  <c r="AI115" i="1"/>
  <c r="AF114" i="1"/>
  <c r="AB114" i="1"/>
  <c r="AG113" i="1"/>
  <c r="AF113" i="1"/>
  <c r="AE113" i="1"/>
  <c r="AC113" i="1"/>
  <c r="AB113" i="1"/>
  <c r="AA113" i="1"/>
  <c r="Y113" i="1"/>
  <c r="X113" i="1"/>
  <c r="W113" i="1"/>
  <c r="U112" i="1"/>
  <c r="T112" i="1"/>
  <c r="S112" i="1"/>
  <c r="Q112" i="1"/>
  <c r="P112" i="1"/>
  <c r="O112" i="1"/>
  <c r="M112" i="1"/>
  <c r="L112" i="1"/>
  <c r="K112" i="1"/>
  <c r="I112" i="1"/>
  <c r="H112" i="1"/>
  <c r="G112" i="1"/>
  <c r="AK111" i="1"/>
  <c r="AJ111" i="1"/>
  <c r="AI111" i="1"/>
  <c r="AK110" i="1"/>
  <c r="AJ110" i="1"/>
  <c r="AI110" i="1"/>
  <c r="AG110" i="1"/>
  <c r="AF110" i="1"/>
  <c r="AE110" i="1"/>
  <c r="U109" i="1"/>
  <c r="T109" i="1"/>
  <c r="S109" i="1"/>
  <c r="Q109" i="1"/>
  <c r="P109" i="1"/>
  <c r="O109" i="1"/>
  <c r="M109" i="1"/>
  <c r="L109" i="1"/>
  <c r="K109" i="1"/>
  <c r="I109" i="1"/>
  <c r="H109" i="1"/>
  <c r="G109" i="1"/>
  <c r="AG108" i="1"/>
  <c r="AF108" i="1"/>
  <c r="AE108" i="1"/>
  <c r="AC108" i="1"/>
  <c r="AB108" i="1"/>
  <c r="AA108" i="1"/>
  <c r="Y108" i="1"/>
  <c r="X108" i="1"/>
  <c r="W108" i="1"/>
  <c r="AK107" i="1"/>
  <c r="AJ107" i="1"/>
  <c r="AI107" i="1"/>
  <c r="AG107" i="1"/>
  <c r="AF107" i="1"/>
  <c r="AE107" i="1"/>
  <c r="AC107" i="1"/>
  <c r="AB107" i="1"/>
  <c r="AA107" i="1"/>
  <c r="Y107" i="1"/>
  <c r="X107" i="1"/>
  <c r="W107" i="1"/>
  <c r="AK106" i="1"/>
  <c r="AJ106" i="1"/>
  <c r="AI106" i="1"/>
  <c r="AG106" i="1"/>
  <c r="AF106" i="1"/>
  <c r="AE106" i="1"/>
  <c r="AC106" i="1"/>
  <c r="AB106" i="1"/>
  <c r="AA106" i="1"/>
  <c r="Y106" i="1"/>
  <c r="X106" i="1"/>
  <c r="W106" i="1"/>
  <c r="AG105" i="1"/>
  <c r="AF105" i="1"/>
  <c r="AE105" i="1"/>
  <c r="AK104" i="1"/>
  <c r="AJ104" i="1"/>
  <c r="AI104" i="1"/>
  <c r="AG104" i="1"/>
  <c r="AF104" i="1"/>
  <c r="AE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G97" i="1"/>
  <c r="AF97" i="1"/>
  <c r="AE97" i="1"/>
  <c r="AC97" i="1"/>
  <c r="AB97" i="1"/>
  <c r="AA97" i="1"/>
  <c r="Y97" i="1"/>
  <c r="X97" i="1"/>
  <c r="W97" i="1"/>
  <c r="AK96" i="1"/>
  <c r="AJ96" i="1"/>
  <c r="AI96" i="1"/>
  <c r="AK95" i="1"/>
  <c r="AJ95" i="1"/>
  <c r="U94" i="1"/>
  <c r="T94" i="1"/>
  <c r="S94" i="1"/>
  <c r="Q94" i="1"/>
  <c r="P94" i="1"/>
  <c r="O94" i="1"/>
  <c r="M94" i="1"/>
  <c r="L94" i="1"/>
  <c r="K94" i="1"/>
  <c r="I94" i="1"/>
  <c r="H94" i="1"/>
  <c r="G94" i="1"/>
  <c r="AJ91" i="1"/>
  <c r="AK87" i="1"/>
  <c r="AJ87" i="1"/>
  <c r="AI87" i="1"/>
  <c r="AG87" i="1"/>
  <c r="AF87" i="1"/>
  <c r="AE87" i="1"/>
  <c r="AK86" i="1"/>
  <c r="AJ86" i="1"/>
  <c r="AI86" i="1"/>
  <c r="AG86" i="1"/>
  <c r="AF86" i="1"/>
  <c r="AE86" i="1"/>
  <c r="AK85" i="1"/>
  <c r="AJ85" i="1"/>
  <c r="AI85" i="1"/>
  <c r="AK84" i="1"/>
  <c r="AJ84" i="1"/>
  <c r="AI84" i="1"/>
  <c r="U83" i="1"/>
  <c r="T83" i="1"/>
  <c r="S83" i="1"/>
  <c r="Q83" i="1"/>
  <c r="P83" i="1"/>
  <c r="O83" i="1"/>
  <c r="M83" i="1"/>
  <c r="L83" i="1"/>
  <c r="K83" i="1"/>
  <c r="I83" i="1"/>
  <c r="H83" i="1"/>
  <c r="G83" i="1"/>
  <c r="AK81" i="1"/>
  <c r="AJ81" i="1"/>
  <c r="AI81" i="1"/>
  <c r="AK80" i="1"/>
  <c r="AJ80" i="1"/>
  <c r="AI80" i="1"/>
  <c r="AG80" i="1"/>
  <c r="AF80" i="1"/>
  <c r="AE80" i="1"/>
  <c r="AC80" i="1"/>
  <c r="AB80" i="1"/>
  <c r="AA80" i="1"/>
  <c r="Y80" i="1"/>
  <c r="X80" i="1"/>
  <c r="W80" i="1"/>
  <c r="AG79" i="1"/>
  <c r="AF79" i="1"/>
  <c r="AE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K73" i="1"/>
  <c r="AJ73" i="1"/>
  <c r="AI73" i="1"/>
  <c r="AG73" i="1"/>
  <c r="AF73" i="1"/>
  <c r="AE73" i="1"/>
  <c r="AK72" i="1"/>
  <c r="AJ72" i="1"/>
  <c r="AI72" i="1"/>
  <c r="AG72" i="1"/>
  <c r="AF72" i="1"/>
  <c r="AE72" i="1"/>
  <c r="AK71" i="1"/>
  <c r="AJ71" i="1"/>
  <c r="AI71" i="1"/>
  <c r="AK70" i="1"/>
  <c r="AJ70" i="1"/>
  <c r="AI70" i="1"/>
  <c r="AK69" i="1"/>
  <c r="AJ69" i="1"/>
  <c r="AI69" i="1"/>
  <c r="AG69" i="1"/>
  <c r="AF69" i="1"/>
  <c r="AE69" i="1"/>
  <c r="AK68" i="1"/>
  <c r="AJ68" i="1"/>
  <c r="AI68" i="1"/>
  <c r="AG68" i="1"/>
  <c r="AF68" i="1"/>
  <c r="AE68" i="1"/>
  <c r="AK67" i="1"/>
  <c r="AJ67" i="1"/>
  <c r="AI67" i="1"/>
  <c r="AK66" i="1"/>
  <c r="AJ66" i="1"/>
  <c r="AI66" i="1"/>
  <c r="AG66" i="1"/>
  <c r="AF66" i="1"/>
  <c r="AE66" i="1"/>
  <c r="AK65" i="1"/>
  <c r="AJ65" i="1"/>
  <c r="AI65" i="1"/>
  <c r="AG65" i="1"/>
  <c r="AF65" i="1"/>
  <c r="AE65" i="1"/>
  <c r="AK64" i="1"/>
  <c r="AJ64" i="1"/>
  <c r="AI64" i="1"/>
  <c r="AK63" i="1"/>
  <c r="AJ63" i="1"/>
  <c r="AI63" i="1"/>
  <c r="AG63" i="1"/>
  <c r="AF63" i="1"/>
  <c r="AE63" i="1"/>
  <c r="AK62" i="1"/>
  <c r="AJ62" i="1"/>
  <c r="AI62" i="1"/>
  <c r="AG62" i="1"/>
  <c r="AF62" i="1"/>
  <c r="AE62" i="1"/>
  <c r="AK61" i="1"/>
  <c r="AJ61" i="1"/>
  <c r="AI61" i="1"/>
  <c r="AG61" i="1"/>
  <c r="AF61" i="1"/>
  <c r="AE61" i="1"/>
  <c r="AK60" i="1"/>
  <c r="AJ60" i="1"/>
  <c r="AI60" i="1"/>
  <c r="AG60" i="1"/>
  <c r="AF60" i="1"/>
  <c r="AE60" i="1"/>
  <c r="AG59" i="1"/>
  <c r="AF59" i="1"/>
  <c r="AE59" i="1"/>
  <c r="AK58" i="1"/>
  <c r="AJ58" i="1"/>
  <c r="AI58" i="1"/>
  <c r="AG58" i="1"/>
  <c r="AF58" i="1"/>
  <c r="AE58" i="1"/>
  <c r="AK57" i="1"/>
  <c r="AJ57" i="1"/>
  <c r="AI57" i="1"/>
  <c r="AG56" i="1"/>
  <c r="AF56" i="1"/>
  <c r="AE56" i="1"/>
  <c r="AC56" i="1"/>
  <c r="AB56" i="1"/>
  <c r="AA56" i="1"/>
  <c r="Y56" i="1"/>
  <c r="X56" i="1"/>
  <c r="W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G52" i="1"/>
  <c r="AF52" i="1"/>
  <c r="AE52" i="1"/>
  <c r="AK51" i="1"/>
  <c r="AJ51" i="1"/>
  <c r="AI51" i="1"/>
  <c r="AK50" i="1"/>
  <c r="AJ50" i="1"/>
  <c r="AI50" i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G45" i="1"/>
  <c r="AF45" i="1"/>
  <c r="AE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G40" i="1"/>
  <c r="AF40" i="1"/>
  <c r="AE40" i="1"/>
  <c r="AC40" i="1"/>
  <c r="AB40" i="1"/>
  <c r="AA40" i="1"/>
  <c r="Y40" i="1"/>
  <c r="X40" i="1"/>
  <c r="W40" i="1"/>
  <c r="AK39" i="1"/>
  <c r="AJ39" i="1"/>
  <c r="AI39" i="1"/>
  <c r="AK38" i="1"/>
  <c r="AJ38" i="1"/>
  <c r="AI38" i="1"/>
  <c r="AG38" i="1"/>
  <c r="AF38" i="1"/>
  <c r="AE38" i="1"/>
  <c r="AK36" i="1"/>
  <c r="AJ36" i="1"/>
  <c r="AI36" i="1"/>
  <c r="AG36" i="1"/>
  <c r="AF36" i="1"/>
  <c r="AE36" i="1"/>
  <c r="AC36" i="1"/>
  <c r="AB36" i="1"/>
  <c r="AA36" i="1"/>
  <c r="Y36" i="1"/>
  <c r="X36" i="1"/>
  <c r="W36" i="1"/>
  <c r="AG35" i="1"/>
  <c r="AF35" i="1"/>
  <c r="AE35" i="1"/>
  <c r="Y35" i="1"/>
  <c r="X35" i="1"/>
  <c r="W35" i="1"/>
  <c r="AK34" i="1"/>
  <c r="AJ34" i="1"/>
  <c r="AI34" i="1"/>
  <c r="AG34" i="1"/>
  <c r="AF34" i="1"/>
  <c r="AE34" i="1"/>
  <c r="AC34" i="1"/>
  <c r="AB34" i="1"/>
  <c r="AA34" i="1"/>
  <c r="Y34" i="1"/>
  <c r="X34" i="1"/>
  <c r="W34" i="1"/>
  <c r="AK33" i="1"/>
  <c r="AJ33" i="1"/>
  <c r="AI33" i="1"/>
  <c r="AG33" i="1"/>
  <c r="AF33" i="1"/>
  <c r="AE33" i="1"/>
  <c r="Y33" i="1"/>
  <c r="X33" i="1"/>
  <c r="W33" i="1"/>
  <c r="U32" i="1"/>
  <c r="T32" i="1"/>
  <c r="S32" i="1"/>
  <c r="Q32" i="1"/>
  <c r="P32" i="1"/>
  <c r="O32" i="1"/>
  <c r="M32" i="1"/>
  <c r="L32" i="1"/>
  <c r="K32" i="1"/>
  <c r="I32" i="1"/>
  <c r="H32" i="1"/>
  <c r="G32" i="1"/>
  <c r="U31" i="1"/>
  <c r="T31" i="1"/>
  <c r="S31" i="1"/>
  <c r="Q31" i="1"/>
  <c r="P31" i="1"/>
  <c r="O31" i="1"/>
  <c r="M31" i="1"/>
  <c r="L31" i="1"/>
  <c r="K31" i="1"/>
  <c r="I31" i="1"/>
  <c r="H31" i="1"/>
  <c r="G31" i="1"/>
  <c r="U30" i="1"/>
  <c r="T30" i="1"/>
  <c r="S30" i="1"/>
  <c r="Q30" i="1"/>
  <c r="P30" i="1"/>
  <c r="O30" i="1"/>
  <c r="M30" i="1"/>
  <c r="L30" i="1"/>
  <c r="K30" i="1"/>
  <c r="I30" i="1"/>
  <c r="H30" i="1"/>
  <c r="G30" i="1"/>
  <c r="AK29" i="1"/>
  <c r="AJ29" i="1"/>
  <c r="AI29" i="1"/>
  <c r="AG29" i="1"/>
  <c r="AF29" i="1"/>
  <c r="AE29" i="1"/>
  <c r="AK28" i="1"/>
  <c r="AJ28" i="1"/>
  <c r="AI28" i="1"/>
  <c r="AG28" i="1"/>
  <c r="AF28" i="1"/>
  <c r="AE28" i="1"/>
  <c r="AK27" i="1"/>
  <c r="AJ27" i="1"/>
  <c r="AI27" i="1"/>
  <c r="AG27" i="1"/>
  <c r="AF27" i="1"/>
  <c r="AE27" i="1"/>
  <c r="AC27" i="1"/>
  <c r="AB27" i="1"/>
  <c r="AA27" i="1"/>
  <c r="Y27" i="1"/>
  <c r="X27" i="1"/>
  <c r="W27" i="1"/>
  <c r="AK26" i="1"/>
  <c r="AJ26" i="1"/>
  <c r="AI26" i="1"/>
  <c r="AK25" i="1"/>
  <c r="AJ25" i="1"/>
  <c r="AI25" i="1"/>
  <c r="AG24" i="1"/>
  <c r="AF24" i="1"/>
  <c r="AE24" i="1"/>
  <c r="AC24" i="1"/>
  <c r="AB24" i="1"/>
  <c r="AA24" i="1"/>
  <c r="Y24" i="1"/>
  <c r="X24" i="1"/>
  <c r="W24" i="1"/>
  <c r="AG23" i="1"/>
  <c r="AF23" i="1"/>
  <c r="AE23" i="1"/>
  <c r="AG22" i="1"/>
  <c r="AF22" i="1"/>
  <c r="AE22" i="1"/>
  <c r="AC22" i="1"/>
  <c r="AB22" i="1"/>
  <c r="AA22" i="1"/>
  <c r="Y22" i="1"/>
  <c r="X22" i="1"/>
  <c r="W22" i="1"/>
  <c r="AK21" i="1"/>
  <c r="AJ21" i="1"/>
  <c r="AI21" i="1"/>
  <c r="AG20" i="1"/>
  <c r="AF20" i="1"/>
  <c r="AE20" i="1"/>
  <c r="AC20" i="1"/>
  <c r="AB20" i="1"/>
  <c r="AA20" i="1"/>
  <c r="Y20" i="1"/>
  <c r="X20" i="1"/>
  <c r="W20" i="1"/>
  <c r="AG19" i="1"/>
  <c r="AF19" i="1"/>
  <c r="AE19" i="1"/>
  <c r="Y19" i="1"/>
  <c r="X19" i="1"/>
  <c r="W19" i="1"/>
  <c r="AK18" i="1"/>
  <c r="AJ18" i="1"/>
  <c r="AI18" i="1"/>
  <c r="I17" i="1"/>
  <c r="H17" i="1"/>
  <c r="G17" i="1"/>
  <c r="AC16" i="1"/>
  <c r="AB16" i="1"/>
  <c r="AA16" i="1"/>
  <c r="AK15" i="1"/>
  <c r="AJ15" i="1"/>
  <c r="AI15" i="1"/>
  <c r="AG15" i="1"/>
  <c r="AF15" i="1"/>
  <c r="AE15" i="1"/>
  <c r="AC15" i="1"/>
  <c r="AB15" i="1"/>
  <c r="AA15" i="1"/>
  <c r="Y15" i="1"/>
  <c r="X15" i="1"/>
  <c r="W15" i="1"/>
  <c r="AK14" i="1"/>
  <c r="AJ14" i="1"/>
  <c r="AI14" i="1"/>
  <c r="AG14" i="1"/>
  <c r="AF14" i="1"/>
  <c r="AE14" i="1"/>
  <c r="AC14" i="1"/>
  <c r="AB14" i="1"/>
  <c r="AA14" i="1"/>
  <c r="Y14" i="1"/>
  <c r="X14" i="1"/>
  <c r="W14" i="1"/>
  <c r="I13" i="1"/>
  <c r="H13" i="1"/>
  <c r="G13" i="1"/>
  <c r="AK12" i="1"/>
  <c r="AJ12" i="1"/>
  <c r="AI12" i="1"/>
  <c r="U11" i="1"/>
  <c r="T11" i="1"/>
  <c r="S11" i="1"/>
  <c r="Q11" i="1"/>
  <c r="P11" i="1"/>
  <c r="O11" i="1"/>
  <c r="M11" i="1"/>
  <c r="L11" i="1"/>
  <c r="K11" i="1"/>
  <c r="I11" i="1"/>
  <c r="H11" i="1"/>
  <c r="G11" i="1"/>
  <c r="AG10" i="1"/>
  <c r="AF10" i="1"/>
  <c r="AE10" i="1"/>
  <c r="Y10" i="1"/>
  <c r="X10" i="1"/>
  <c r="W10" i="1"/>
  <c r="U10" i="1"/>
  <c r="T10" i="1"/>
  <c r="S10" i="1"/>
  <c r="Q10" i="1"/>
  <c r="P10" i="1"/>
  <c r="O10" i="1"/>
  <c r="M10" i="1"/>
  <c r="L10" i="1"/>
  <c r="K10" i="1"/>
  <c r="I10" i="1"/>
  <c r="H10" i="1"/>
  <c r="G10" i="1"/>
  <c r="AG9" i="1"/>
  <c r="AF9" i="1"/>
  <c r="AE9" i="1"/>
  <c r="AC9" i="1"/>
  <c r="AB9" i="1"/>
  <c r="AA9" i="1"/>
  <c r="Y9" i="1"/>
  <c r="X9" i="1"/>
  <c r="W9" i="1"/>
  <c r="AK8" i="1"/>
  <c r="AJ8" i="1"/>
  <c r="AI8" i="1"/>
  <c r="AG8" i="1"/>
  <c r="AF8" i="1"/>
  <c r="AE8" i="1"/>
  <c r="AB7" i="1"/>
  <c r="AG6" i="1"/>
  <c r="AF6" i="1"/>
  <c r="AE6" i="1"/>
  <c r="AC6" i="1"/>
  <c r="AB6" i="1"/>
  <c r="AA6" i="1"/>
  <c r="Y6" i="1"/>
  <c r="X6" i="1"/>
  <c r="W6" i="1"/>
  <c r="AC5" i="1"/>
  <c r="AB5" i="1"/>
  <c r="AA5" i="1"/>
  <c r="Y5" i="1"/>
  <c r="X5" i="1"/>
  <c r="W5" i="1"/>
  <c r="U4" i="1"/>
  <c r="T4" i="1"/>
  <c r="S4" i="1"/>
  <c r="Q4" i="1"/>
  <c r="P4" i="1"/>
  <c r="O4" i="1"/>
  <c r="M4" i="1"/>
  <c r="L4" i="1"/>
  <c r="K4" i="1"/>
  <c r="I4" i="1"/>
  <c r="H4" i="1"/>
  <c r="G4" i="1"/>
</calcChain>
</file>

<file path=xl/sharedStrings.xml><?xml version="1.0" encoding="utf-8"?>
<sst xmlns="http://schemas.openxmlformats.org/spreadsheetml/2006/main" count="605" uniqueCount="226">
  <si>
    <t>乡镇</t>
  </si>
  <si>
    <t>COD</t>
  </si>
  <si>
    <t>TN</t>
  </si>
  <si>
    <t>TP</t>
  </si>
  <si>
    <t>颗粒物</t>
  </si>
  <si>
    <t>VOC</t>
  </si>
  <si>
    <t>备注</t>
  </si>
  <si>
    <t>云亭街道</t>
  </si>
  <si>
    <t>江苏三禾毛纺织有限公司</t>
  </si>
  <si>
    <t>青阳镇</t>
  </si>
  <si>
    <t>江阴市丽佳肉鸭制品有限公司</t>
  </si>
  <si>
    <t>徐霞客镇</t>
  </si>
  <si>
    <t>江阴市国力塑料包装有限公司</t>
  </si>
  <si>
    <t>江阴科创金属制品有限公司</t>
  </si>
  <si>
    <t>江阴市振新针织有限公司</t>
  </si>
  <si>
    <t>华士镇</t>
  </si>
  <si>
    <t>月城镇</t>
  </si>
  <si>
    <t>多快（江阴）电梯制造有限公司</t>
  </si>
  <si>
    <t>祝塘镇</t>
  </si>
  <si>
    <t>周庄镇</t>
  </si>
  <si>
    <t>江阴市登峰电工材料有限公司</t>
  </si>
  <si>
    <t>江阴市荣浩化纤材料有限公司</t>
  </si>
  <si>
    <t>江阴市丰源轧钢有限公司</t>
  </si>
  <si>
    <t>江阴市煜翔塑料科技有限公司</t>
  </si>
  <si>
    <t>长泾镇</t>
  </si>
  <si>
    <t>无锡舜阳新能源科技股份有限公司</t>
  </si>
  <si>
    <t>江阴市福贝特橡塑涂料有限公司</t>
  </si>
  <si>
    <t>江苏华西村股份有限公司特种化纤厂</t>
  </si>
  <si>
    <t>江阴市宝益塑料包装有限公司</t>
  </si>
  <si>
    <t>顾山镇</t>
  </si>
  <si>
    <t>江阴市明发塑料编织有限公司</t>
  </si>
  <si>
    <t>江阴市胜力特新型建材有限公司</t>
  </si>
  <si>
    <t>江苏龙华集团有限公司</t>
  </si>
  <si>
    <t>江阴市春达铝业有限公司</t>
  </si>
  <si>
    <t>江阴市和港机械有限公司</t>
  </si>
  <si>
    <t>江阴神龙合纤有限公司</t>
  </si>
  <si>
    <t>江苏阳光璜塘热电有限公司</t>
  </si>
  <si>
    <t>江阴昌盛电子器材有限公司</t>
  </si>
  <si>
    <t>江阴市利港前周石料加工厂</t>
  </si>
  <si>
    <t>江阴市化学试剂厂有限公司</t>
  </si>
  <si>
    <t>高新区</t>
  </si>
  <si>
    <t>中石油江苏燃料沥青有限责任公司</t>
  </si>
  <si>
    <t>中国石化销售股份有限公司江苏江阴石油分公司</t>
  </si>
  <si>
    <t>江苏欧倍力石油化工有限公司</t>
  </si>
  <si>
    <t>江阴市双达钢业有限公司</t>
  </si>
  <si>
    <t>江苏泰富兴澄特殊钢有限公司</t>
  </si>
  <si>
    <t>江阴市宝翔铸件有限公司</t>
  </si>
  <si>
    <t>江阴市申港涵阳机械配件厂</t>
  </si>
  <si>
    <t>江苏优为智造系统集成有限公司</t>
  </si>
  <si>
    <t>江阴市东烨石材有限公司</t>
  </si>
  <si>
    <t>江阴市茂昌金属新材料科技有限公司</t>
  </si>
  <si>
    <t>江阴市博诚针织有限公司</t>
  </si>
  <si>
    <t>江阴新时代金属构件有限公司</t>
  </si>
  <si>
    <t>（注：各指标入库认定量不改动，以便后续进行统计，使用量根据项目种类及实际平衡用量在镇、市、无锡部分带公式进行扣减，便于核对）</t>
  </si>
  <si>
    <t>水（吨/年）</t>
  </si>
  <si>
    <t>气（吨/年）</t>
  </si>
  <si>
    <t>序号</t>
  </si>
  <si>
    <t>平衡单位</t>
  </si>
  <si>
    <t>是否已入省储备库（已入库/预支）</t>
  </si>
  <si>
    <t>入库认定时间</t>
  </si>
  <si>
    <r>
      <t>NH</t>
    </r>
    <r>
      <rPr>
        <b/>
        <vertAlign val="subscript"/>
        <sz val="12"/>
        <rFont val="宋体"/>
        <charset val="134"/>
      </rPr>
      <t>3</t>
    </r>
    <r>
      <rPr>
        <b/>
        <sz val="12"/>
        <rFont val="宋体"/>
        <charset val="134"/>
      </rPr>
      <t>-N</t>
    </r>
  </si>
  <si>
    <r>
      <t>SO</t>
    </r>
    <r>
      <rPr>
        <b/>
        <vertAlign val="subscript"/>
        <sz val="12"/>
        <rFont val="宋体"/>
        <charset val="134"/>
      </rPr>
      <t>2</t>
    </r>
  </si>
  <si>
    <r>
      <t>NO</t>
    </r>
    <r>
      <rPr>
        <b/>
        <vertAlign val="subscript"/>
        <sz val="12"/>
        <rFont val="宋体"/>
        <charset val="134"/>
      </rPr>
      <t>X</t>
    </r>
  </si>
  <si>
    <t>入库认定量</t>
  </si>
  <si>
    <t>镇用20%</t>
  </si>
  <si>
    <t>市统筹60%</t>
  </si>
  <si>
    <t>无锡统筹20%</t>
  </si>
  <si>
    <r>
      <t>镇用2</t>
    </r>
    <r>
      <rPr>
        <sz val="10"/>
        <rFont val="宋体"/>
        <charset val="134"/>
      </rPr>
      <t>0%</t>
    </r>
  </si>
  <si>
    <t>（市属库）利港</t>
  </si>
  <si>
    <t>光大水处理（江阴）有限公司江阴西利污水处理厂（生活源）</t>
  </si>
  <si>
    <t>已入库</t>
  </si>
  <si>
    <t>江苏利港电力有限公司</t>
  </si>
  <si>
    <t>江阴利港发电股份有限公司</t>
  </si>
  <si>
    <t>江阴利港发电股份有限公司#5炉宽负荷脱硝改造</t>
  </si>
  <si>
    <t>澄江街道</t>
  </si>
  <si>
    <t>江阴市盛龙冶金机械制造有限公司</t>
  </si>
  <si>
    <t>江阴巨龙印染有限公司</t>
  </si>
  <si>
    <t>江阴市久盈纺织有限公司</t>
  </si>
  <si>
    <t>栗田水处理新材料（江阴）有限公司</t>
  </si>
  <si>
    <t>0.7640</t>
  </si>
  <si>
    <t>江阴芯智联电子科技有限公司</t>
  </si>
  <si>
    <t>江阴市海华铝业有限公司</t>
  </si>
  <si>
    <t>2023-02-06</t>
  </si>
  <si>
    <t xml:space="preserve">江阴市新鑫特种涂料助剂有限公司 </t>
  </si>
  <si>
    <t>2023-01-05</t>
  </si>
  <si>
    <t>江阴市宏图毛织整理有限公司</t>
  </si>
  <si>
    <t>江阴市北国五金铸造厂</t>
  </si>
  <si>
    <t>江阴特美金属制品有限公司</t>
  </si>
  <si>
    <t>2023-01-18</t>
  </si>
  <si>
    <t>江阴市源顺化学有限公司</t>
  </si>
  <si>
    <t>江阴市恒辉特种漆业有限公司</t>
  </si>
  <si>
    <t>江阴市三良橡塑新材料有限公司</t>
  </si>
  <si>
    <t>江阴恒扬新型建材有限公司</t>
  </si>
  <si>
    <t>江阴嘉乐威胶乳制品有限公司</t>
  </si>
  <si>
    <t>江阴市俊杰金属涂层有限公司</t>
  </si>
  <si>
    <t>夏港街道归还总量</t>
  </si>
  <si>
    <t>力同化工（无锡）有限公司</t>
  </si>
  <si>
    <t>江阴友邦化工有限公司</t>
  </si>
  <si>
    <t>江阴洁霞无纺布有限公司</t>
  </si>
  <si>
    <t>璜土</t>
  </si>
  <si>
    <t>江阴时速机械制造有限公司</t>
  </si>
  <si>
    <t>江阴市璜土慕莱臣家具厂</t>
  </si>
  <si>
    <t>江阴市源润机械制造有限公司</t>
  </si>
  <si>
    <t>江阴市埃柯曼五金制造有限公司</t>
  </si>
  <si>
    <t>江阴市璜土新集包装厂</t>
  </si>
  <si>
    <t>江阴隆睿驰机械设备有限公司</t>
  </si>
  <si>
    <t>江阴市振强木制包装有限公司</t>
  </si>
  <si>
    <t>江阴市玉鱼机械装备有限公司</t>
  </si>
  <si>
    <t>江阴市石庄轻工机械配件厂</t>
  </si>
  <si>
    <t>江阴市三剑机械织造有限公司</t>
  </si>
  <si>
    <t>江阴亚邦汽保设备有限公司</t>
  </si>
  <si>
    <t>江苏依莱特石油科技有限公司</t>
  </si>
  <si>
    <t>江阴巨光化工科技有限公司</t>
  </si>
  <si>
    <t>江阴宝宏塑胶有限公司</t>
  </si>
  <si>
    <t>利港</t>
  </si>
  <si>
    <t>江苏绿钢涂料有限公司</t>
  </si>
  <si>
    <t>2023-01-29</t>
  </si>
  <si>
    <t>江阴市汇克拓化工有限公司</t>
  </si>
  <si>
    <t>江阴市鑫弘橡胶制品有限公司</t>
  </si>
  <si>
    <t>江阴市利港橡胶厂</t>
  </si>
  <si>
    <t>江阴市一帆工贸有限公司</t>
  </si>
  <si>
    <t>江阴市希尔达空气处理设备有限公司</t>
  </si>
  <si>
    <t>江阴市润霖模塑新材料有限公司</t>
  </si>
  <si>
    <t xml:space="preserve"> 江阴市惠旭塑料制品有限公司</t>
  </si>
  <si>
    <t>江阴市祥诚铸造机械有限公司</t>
  </si>
  <si>
    <t>江阴市正达空气处理设备有限公司</t>
  </si>
  <si>
    <t>江阴诺明精密五金有限公司</t>
  </si>
  <si>
    <t>江阴市利港街道赛利恩特机械厂</t>
  </si>
  <si>
    <t>江苏国光重型机械有限公司</t>
  </si>
  <si>
    <t>江阴市蓝鲸净化镀膜有限公司</t>
  </si>
  <si>
    <t>江阴市乐丰缓冲包装材料有限公司</t>
  </si>
  <si>
    <t>江阴市一展工程机械有限公司</t>
  </si>
  <si>
    <t>江阴太博金属制品有限公司</t>
  </si>
  <si>
    <t>无锡光未来新材料有限公司</t>
  </si>
  <si>
    <t>江阴凯研金属制造有限公司</t>
  </si>
  <si>
    <t>江苏鹿达包装新材料有限公司</t>
  </si>
  <si>
    <t>南闸街道</t>
  </si>
  <si>
    <t>从常盛化纤中扣除</t>
  </si>
  <si>
    <t>江阴市建业化工有限公司</t>
  </si>
  <si>
    <r>
      <t>（已将临港归还的V</t>
    </r>
    <r>
      <rPr>
        <sz val="11"/>
        <color theme="1"/>
        <rFont val="宋体"/>
        <family val="2"/>
        <scheme val="minor"/>
      </rPr>
      <t>OC量补充回建业化工）</t>
    </r>
  </si>
  <si>
    <t>江阴市青阳镇新谊五金铸件厂</t>
  </si>
  <si>
    <t>申港街道归还总量</t>
  </si>
  <si>
    <t>利港街道归还总量</t>
  </si>
  <si>
    <t>璜土镇归还总量</t>
  </si>
  <si>
    <t>华士镇归还总量</t>
  </si>
  <si>
    <t>江阴市城南城市建设投资集团有限公司(污水厂)（生活源）</t>
  </si>
  <si>
    <t>申港</t>
  </si>
  <si>
    <t>江阴市良澄涂料有限公司</t>
  </si>
  <si>
    <t>江阴市港汇包装有限公司</t>
  </si>
  <si>
    <t>归还远景动力技术项目，从申港江阴市申晨塑料电器有限公司量中归还</t>
  </si>
  <si>
    <t>归还弘元光能总量，从易高塑胶中扣除</t>
  </si>
  <si>
    <t>江阴骏阳机械有限公司</t>
  </si>
  <si>
    <t>归还弘元光能总量81.5483吨、归还鸿萌、永鸿总量3.6991吨，从一帆、希尔达、润霖、惠旭、胜力特、祥诚、正达、诺明、科创、赛利恩、国光、蓝鲸、一展、乐丰中扣除（留在乐丰的镇用部分）</t>
  </si>
  <si>
    <t>归还弘元光能总量，从优为、时速、慕莱臣、源润、埃曼、新集、隆睿、振强、玉鱼中扣除（余量留在玉鱼）</t>
  </si>
  <si>
    <t>江阴市申晨塑料电器有限公司</t>
  </si>
  <si>
    <t>江阴亿博瑞模塑科技有限公司</t>
  </si>
  <si>
    <t>江阴市兴一氟塑制品厂</t>
  </si>
  <si>
    <t>5.7980</t>
  </si>
  <si>
    <t>江阴峻双机械设备有限公司</t>
  </si>
  <si>
    <t>江阴市东豪针纺有限公司</t>
  </si>
  <si>
    <t>2.0580</t>
  </si>
  <si>
    <t>1.3400</t>
  </si>
  <si>
    <t>0.7250</t>
  </si>
  <si>
    <t>泰山石膏（江阴）有限公司</t>
  </si>
  <si>
    <t>230.1600</t>
  </si>
  <si>
    <t>71.7120</t>
  </si>
  <si>
    <t>60.2500</t>
  </si>
  <si>
    <t>夏港</t>
  </si>
  <si>
    <t>江阴市长江化工有限公司</t>
  </si>
  <si>
    <t>江阴立帆环保新材料实业有限公司</t>
  </si>
  <si>
    <t>江阴市易高塑胶有限公司</t>
  </si>
  <si>
    <t>江阴市东泰型钢彩板有限公司</t>
  </si>
  <si>
    <t>江阴市力华纺织机械有限公司</t>
  </si>
  <si>
    <t>新桥镇</t>
  </si>
  <si>
    <t>江苏阳光新桥热电有限公司</t>
  </si>
  <si>
    <t>江阴市霞客彩纤有限公司</t>
  </si>
  <si>
    <t>2023-01-13</t>
  </si>
  <si>
    <t>江阴金燕化纤有限公司</t>
  </si>
  <si>
    <t>江阴新仁铝业科技有限公司</t>
  </si>
  <si>
    <t>省资金项目，省厅截留7.15，无锡截留1.43，江阴5.72（按4:6分给镇街市库）</t>
  </si>
  <si>
    <t>江阴市浩益塑业有限公司</t>
  </si>
  <si>
    <t>江阴市中威磁材有限公司</t>
  </si>
  <si>
    <t>江阴市昕望再生资源有限公司</t>
  </si>
  <si>
    <t>江阴水韵新城建设投资有限公司（生活源）</t>
  </si>
  <si>
    <r>
      <t>使用省级资金项目，省厅截留COD 26.8818、氨氮6.4013、总氮5.5941、总磷1.4930</t>
    </r>
    <r>
      <rPr>
        <sz val="11"/>
        <color theme="1"/>
        <rFont val="宋体"/>
        <family val="2"/>
        <scheme val="minor"/>
      </rPr>
      <t>，无锡</t>
    </r>
    <r>
      <rPr>
        <sz val="11"/>
        <color theme="1"/>
        <rFont val="宋体"/>
        <family val="2"/>
        <scheme val="minor"/>
      </rPr>
      <t>截留20%</t>
    </r>
    <r>
      <rPr>
        <sz val="11"/>
        <color theme="1"/>
        <rFont val="宋体"/>
        <family val="2"/>
        <scheme val="minor"/>
      </rPr>
      <t>，江阴</t>
    </r>
    <r>
      <rPr>
        <sz val="11"/>
        <color theme="1"/>
        <rFont val="宋体"/>
        <family val="2"/>
        <scheme val="minor"/>
      </rPr>
      <t>部分</t>
    </r>
    <r>
      <rPr>
        <sz val="11"/>
        <color theme="1"/>
        <rFont val="宋体"/>
        <family val="2"/>
        <scheme val="minor"/>
      </rPr>
      <t>按</t>
    </r>
    <r>
      <rPr>
        <sz val="11"/>
        <color theme="1"/>
        <rFont val="宋体"/>
        <family val="2"/>
        <scheme val="minor"/>
      </rPr>
      <t>1：3</t>
    </r>
    <r>
      <rPr>
        <sz val="11"/>
        <color theme="1"/>
        <rFont val="宋体"/>
        <family val="2"/>
        <scheme val="minor"/>
      </rPr>
      <t>分给镇街市库</t>
    </r>
  </si>
  <si>
    <t>2023-01-11</t>
  </si>
  <si>
    <t>2022-12-09</t>
  </si>
  <si>
    <t>周庄镇归还总量</t>
  </si>
  <si>
    <t>江阴市长泾振红铸件厂</t>
  </si>
  <si>
    <t>江阴锦鹏铝业科技有限公司</t>
  </si>
  <si>
    <t>江阴市长泾苏巷开毛厂</t>
  </si>
  <si>
    <t>江阴市长泾和平轻工铸件厂</t>
  </si>
  <si>
    <t>江阴市电磁阀厂有限公司</t>
  </si>
  <si>
    <t>江阴市长泾锐丽清洗有限公司</t>
  </si>
  <si>
    <t>江阴恒晟纺织有限公司</t>
  </si>
  <si>
    <t>0.1000</t>
  </si>
  <si>
    <t>0.4680</t>
  </si>
  <si>
    <t>0.2660</t>
  </si>
  <si>
    <t>0.0900</t>
  </si>
  <si>
    <t>江阴宏泰铝业有限公司</t>
  </si>
  <si>
    <t>江阴常盛化纤有限公司</t>
  </si>
  <si>
    <t>江阴倪家巷新材料有限公司</t>
  </si>
  <si>
    <t>江阴澄云达建设工程有限公司（生活源）</t>
  </si>
  <si>
    <t>江阴市港西金属制品有限公司</t>
  </si>
  <si>
    <t>江阴鑫尔达特种金属制品有限公司</t>
  </si>
  <si>
    <t>中化道达尔油品有限公司无锡东方加油站</t>
  </si>
  <si>
    <t>1.5960</t>
  </si>
  <si>
    <t>3.8700</t>
  </si>
  <si>
    <t>江阴东来金属制品有限公司</t>
  </si>
  <si>
    <t>江阴金承树脂工业有限公司</t>
  </si>
  <si>
    <t>江阴市常隆铝业科技有限公司</t>
  </si>
  <si>
    <t>江阴市华泰不锈钢制品有限公司</t>
  </si>
  <si>
    <t>江阴市周庄新泉合金材料厂</t>
  </si>
  <si>
    <t>江阴市宇雅电子有限公司</t>
  </si>
  <si>
    <t>江阴市万特制管有限公司</t>
  </si>
  <si>
    <t>江阴市亚上铝业有限公司</t>
  </si>
  <si>
    <t>江阴市顺鑫化纤有限公司</t>
  </si>
  <si>
    <t>江阴金山福达化工有限公司</t>
  </si>
  <si>
    <t>江阴市华腾印染有限公司</t>
  </si>
  <si>
    <t>江阴福泰化工有限公司</t>
  </si>
  <si>
    <t>江阴市天鹅制呢厂有限公司</t>
  </si>
  <si>
    <t>江阴市飞燕实业有限公司</t>
  </si>
  <si>
    <t>江阴立拓金属制品有限公司</t>
  </si>
  <si>
    <t>恒阳项目归还</t>
  </si>
  <si>
    <t>江阴康爱特包装股份有限公司</t>
  </si>
  <si>
    <t>江阴市万博塑胶容器有限公司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</si>
</sst>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);[Red]\(0.0000\)"/>
    <numFmt numFmtId="178" formatCode="0.0000_ "/>
    <numFmt numFmtId="179" formatCode="0.0000"/>
    <numFmt numFmtId="181" formatCode="0.000_ "/>
    <numFmt numFmtId="186" formatCode="0.00000_);[Red]\(0.00000\)"/>
    <numFmt numFmtId="188" formatCode="[$-F800]dddd\,\ mmmm\ dd\,\ yyyy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vertAlign val="subscript"/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/>
    <xf numFmtId="188" fontId="2" fillId="0" borderId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6" xfId="1" applyFont="1" applyFill="1" applyBorder="1" applyAlignment="1">
      <alignment horizontal="center" vertical="center" wrapText="1"/>
    </xf>
    <xf numFmtId="0" fontId="0" fillId="0" borderId="5" xfId="1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7" xfId="1" applyFill="1" applyBorder="1" applyAlignment="1">
      <alignment horizontal="center" vertical="center"/>
    </xf>
    <xf numFmtId="0" fontId="2" fillId="0" borderId="8" xfId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2" fillId="0" borderId="9" xfId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5" borderId="3" xfId="1" applyFill="1" applyBorder="1" applyAlignment="1">
      <alignment horizontal="center" vertical="center"/>
    </xf>
    <xf numFmtId="0" fontId="2" fillId="5" borderId="6" xfId="1" applyFill="1" applyBorder="1" applyAlignment="1">
      <alignment horizontal="center" vertical="center"/>
    </xf>
    <xf numFmtId="0" fontId="2" fillId="5" borderId="5" xfId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2" fillId="0" borderId="0" xfId="1" applyFill="1" applyBorder="1">
      <alignment vertical="center"/>
    </xf>
    <xf numFmtId="0" fontId="0" fillId="0" borderId="4" xfId="1" applyFont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shrinkToFit="1"/>
    </xf>
    <xf numFmtId="0" fontId="3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shrinkToFit="1"/>
    </xf>
    <xf numFmtId="0" fontId="2" fillId="0" borderId="1" xfId="1" applyFill="1" applyBorder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shrinkToFit="1"/>
    </xf>
    <xf numFmtId="176" fontId="6" fillId="0" borderId="3" xfId="1" applyNumberFormat="1" applyFont="1" applyFill="1" applyBorder="1" applyAlignment="1">
      <alignment horizontal="center" vertical="center" shrinkToFit="1"/>
    </xf>
    <xf numFmtId="176" fontId="6" fillId="0" borderId="1" xfId="2" applyNumberFormat="1" applyFont="1" applyFill="1" applyBorder="1" applyAlignment="1">
      <alignment horizontal="center" vertical="center" shrinkToFit="1"/>
    </xf>
    <xf numFmtId="0" fontId="2" fillId="0" borderId="1" xfId="1" applyFill="1" applyBorder="1">
      <alignment vertical="center"/>
    </xf>
    <xf numFmtId="0" fontId="2" fillId="0" borderId="0" xfId="1" applyFill="1">
      <alignment vertical="center"/>
    </xf>
    <xf numFmtId="0" fontId="0" fillId="0" borderId="1" xfId="1" applyFont="1" applyFill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 shrinkToFit="1"/>
    </xf>
    <xf numFmtId="14" fontId="6" fillId="0" borderId="1" xfId="3" applyNumberFormat="1" applyFont="1" applyFill="1" applyBorder="1" applyAlignment="1">
      <alignment horizontal="center" vertical="center" wrapText="1"/>
    </xf>
    <xf numFmtId="179" fontId="6" fillId="0" borderId="1" xfId="1" applyNumberFormat="1" applyFont="1" applyFill="1" applyBorder="1" applyAlignment="1">
      <alignment horizontal="center" vertical="center" shrinkToFit="1"/>
    </xf>
    <xf numFmtId="179" fontId="6" fillId="0" borderId="1" xfId="2" applyNumberFormat="1" applyFont="1" applyFill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176" fontId="6" fillId="0" borderId="3" xfId="2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0" fillId="0" borderId="1" xfId="1" applyFont="1" applyFill="1" applyBorder="1">
      <alignment vertical="center"/>
    </xf>
    <xf numFmtId="178" fontId="6" fillId="0" borderId="1" xfId="3" applyNumberFormat="1" applyFont="1" applyFill="1" applyBorder="1" applyAlignment="1">
      <alignment horizontal="center" vertical="center" shrinkToFit="1"/>
    </xf>
    <xf numFmtId="178" fontId="6" fillId="0" borderId="1" xfId="1" applyNumberFormat="1" applyFont="1" applyFill="1" applyBorder="1" applyAlignment="1">
      <alignment horizontal="center" vertical="center" shrinkToFit="1"/>
    </xf>
    <xf numFmtId="0" fontId="2" fillId="6" borderId="1" xfId="1" applyFill="1" applyBorder="1">
      <alignment vertical="center"/>
    </xf>
    <xf numFmtId="0" fontId="2" fillId="6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0" xfId="1" applyFill="1">
      <alignment vertical="center"/>
    </xf>
    <xf numFmtId="188" fontId="2" fillId="0" borderId="1" xfId="1" applyNumberFormat="1" applyFill="1" applyBorder="1" applyAlignment="1">
      <alignment vertical="center" wrapText="1"/>
    </xf>
    <xf numFmtId="188" fontId="6" fillId="0" borderId="1" xfId="3" applyNumberFormat="1" applyFont="1" applyFill="1" applyBorder="1" applyAlignment="1">
      <alignment horizontal="center" vertical="center" wrapText="1"/>
    </xf>
    <xf numFmtId="178" fontId="6" fillId="0" borderId="1" xfId="3" applyNumberFormat="1" applyFont="1" applyFill="1" applyBorder="1" applyAlignment="1">
      <alignment horizontal="center" vertical="center" wrapText="1"/>
    </xf>
    <xf numFmtId="178" fontId="6" fillId="0" borderId="3" xfId="1" applyNumberFormat="1" applyFont="1" applyFill="1" applyBorder="1" applyAlignment="1">
      <alignment horizontal="center" vertical="center" shrinkToFit="1"/>
    </xf>
    <xf numFmtId="178" fontId="6" fillId="0" borderId="3" xfId="3" applyNumberFormat="1" applyFont="1" applyFill="1" applyBorder="1" applyAlignment="1">
      <alignment horizontal="center" vertical="center" shrinkToFit="1"/>
    </xf>
    <xf numFmtId="188" fontId="0" fillId="0" borderId="1" xfId="1" applyNumberFormat="1" applyFont="1" applyFill="1" applyBorder="1" applyAlignment="1">
      <alignment vertical="center" wrapText="1"/>
    </xf>
    <xf numFmtId="188" fontId="0" fillId="0" borderId="1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shrinkToFit="1"/>
    </xf>
    <xf numFmtId="14" fontId="0" fillId="0" borderId="1" xfId="2" applyNumberFormat="1" applyFont="1" applyFill="1" applyBorder="1" applyAlignment="1">
      <alignment horizontal="center" vertical="center" wrapText="1"/>
    </xf>
    <xf numFmtId="176" fontId="0" fillId="0" borderId="1" xfId="2" applyNumberFormat="1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center" vertical="center" shrinkToFit="1"/>
    </xf>
    <xf numFmtId="176" fontId="0" fillId="0" borderId="3" xfId="1" applyNumberFormat="1" applyFont="1" applyFill="1" applyBorder="1" applyAlignment="1">
      <alignment horizontal="center" vertical="center" shrinkToFit="1"/>
    </xf>
    <xf numFmtId="176" fontId="0" fillId="0" borderId="1" xfId="2" applyNumberFormat="1" applyFont="1" applyFill="1" applyBorder="1" applyAlignment="1">
      <alignment horizontal="center" vertical="center" shrinkToFit="1"/>
    </xf>
    <xf numFmtId="0" fontId="0" fillId="0" borderId="1" xfId="1" applyNumberFormat="1" applyFont="1" applyFill="1" applyBorder="1" applyAlignment="1">
      <alignment horizontal="center" vertical="center" shrinkToFit="1"/>
    </xf>
    <xf numFmtId="179" fontId="0" fillId="0" borderId="1" xfId="1" applyNumberFormat="1" applyFont="1" applyFill="1" applyBorder="1" applyAlignment="1">
      <alignment horizontal="center" vertical="center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188" fontId="6" fillId="0" borderId="1" xfId="3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188" fontId="2" fillId="0" borderId="1" xfId="1" applyNumberFormat="1" applyBorder="1" applyAlignment="1">
      <alignment vertical="center" wrapText="1"/>
    </xf>
    <xf numFmtId="188" fontId="0" fillId="0" borderId="1" xfId="1" applyNumberFormat="1" applyFont="1" applyBorder="1" applyAlignment="1">
      <alignment vertical="center" wrapText="1"/>
    </xf>
    <xf numFmtId="0" fontId="2" fillId="2" borderId="0" xfId="1" applyFill="1" applyBorder="1">
      <alignment vertical="center"/>
    </xf>
    <xf numFmtId="0" fontId="2" fillId="6" borderId="0" xfId="1" applyFill="1" applyBorder="1">
      <alignment vertical="center"/>
    </xf>
    <xf numFmtId="188" fontId="2" fillId="0" borderId="1" xfId="1" applyNumberFormat="1" applyFill="1" applyBorder="1">
      <alignment vertical="center"/>
    </xf>
    <xf numFmtId="188" fontId="2" fillId="0" borderId="0" xfId="1" applyNumberFormat="1" applyFill="1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shrinkToFit="1"/>
    </xf>
    <xf numFmtId="178" fontId="7" fillId="0" borderId="3" xfId="1" applyNumberFormat="1" applyFont="1" applyFill="1" applyBorder="1" applyAlignment="1">
      <alignment horizontal="center" vertical="center" shrinkToFit="1"/>
    </xf>
    <xf numFmtId="188" fontId="0" fillId="0" borderId="1" xfId="1" applyNumberFormat="1" applyFont="1" applyFill="1" applyBorder="1">
      <alignment vertical="center"/>
    </xf>
    <xf numFmtId="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178" fontId="0" fillId="0" borderId="1" xfId="1" applyNumberFormat="1" applyFont="1" applyFill="1" applyBorder="1" applyAlignment="1">
      <alignment horizontal="center" vertical="center" shrinkToFit="1"/>
    </xf>
    <xf numFmtId="186" fontId="6" fillId="0" borderId="1" xfId="1" applyNumberFormat="1" applyFont="1" applyFill="1" applyBorder="1" applyAlignment="1">
      <alignment horizontal="center" vertical="center" shrinkToFit="1"/>
    </xf>
    <xf numFmtId="179" fontId="6" fillId="0" borderId="1" xfId="2" applyNumberFormat="1" applyFont="1" applyFill="1" applyBorder="1" applyAlignment="1">
      <alignment horizontal="center" vertical="center" shrinkToFi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shrinkToFit="1"/>
    </xf>
    <xf numFmtId="0" fontId="6" fillId="0" borderId="3" xfId="2" applyNumberFormat="1" applyFont="1" applyFill="1" applyBorder="1" applyAlignment="1">
      <alignment horizontal="center" vertical="center" shrinkToFit="1"/>
    </xf>
    <xf numFmtId="186" fontId="8" fillId="0" borderId="1" xfId="1" applyNumberFormat="1" applyFont="1" applyFill="1" applyBorder="1" applyAlignment="1">
      <alignment horizontal="center" vertical="center" shrinkToFit="1"/>
    </xf>
    <xf numFmtId="176" fontId="0" fillId="0" borderId="3" xfId="2" applyNumberFormat="1" applyFont="1" applyFill="1" applyBorder="1" applyAlignment="1">
      <alignment horizontal="center" vertical="center" shrinkToFit="1"/>
    </xf>
    <xf numFmtId="176" fontId="9" fillId="0" borderId="1" xfId="1" applyNumberFormat="1" applyFont="1" applyFill="1" applyBorder="1" applyAlignment="1">
      <alignment horizontal="center" vertical="center" shrinkToFit="1"/>
    </xf>
    <xf numFmtId="176" fontId="8" fillId="0" borderId="1" xfId="1" applyNumberFormat="1" applyFont="1" applyFill="1" applyBorder="1" applyAlignment="1">
      <alignment horizontal="center" vertical="center" shrinkToFit="1"/>
    </xf>
    <xf numFmtId="0" fontId="2" fillId="3" borderId="1" xfId="1" applyFill="1" applyBorder="1" applyAlignment="1">
      <alignment vertical="center" wrapText="1"/>
    </xf>
    <xf numFmtId="0" fontId="2" fillId="3" borderId="1" xfId="2" applyFont="1" applyFill="1" applyBorder="1" applyAlignment="1">
      <alignment horizontal="center" vertical="center" wrapText="1"/>
    </xf>
    <xf numFmtId="14" fontId="2" fillId="3" borderId="1" xfId="2" applyNumberFormat="1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shrinkToFit="1"/>
    </xf>
    <xf numFmtId="176" fontId="2" fillId="3" borderId="1" xfId="2" applyNumberFormat="1" applyFont="1" applyFill="1" applyBorder="1" applyAlignment="1">
      <alignment horizontal="center" vertical="center" shrinkToFit="1"/>
    </xf>
    <xf numFmtId="176" fontId="2" fillId="3" borderId="3" xfId="1" applyNumberFormat="1" applyFont="1" applyFill="1" applyBorder="1" applyAlignment="1">
      <alignment horizontal="center" vertical="center" shrinkToFit="1"/>
    </xf>
    <xf numFmtId="176" fontId="2" fillId="3" borderId="3" xfId="2" applyNumberFormat="1" applyFont="1" applyFill="1" applyBorder="1" applyAlignment="1">
      <alignment horizontal="center" vertical="center" shrinkToFit="1"/>
    </xf>
    <xf numFmtId="179" fontId="6" fillId="3" borderId="1" xfId="2" applyNumberFormat="1" applyFont="1" applyFill="1" applyBorder="1" applyAlignment="1">
      <alignment horizontal="center" vertical="center" shrinkToFit="1"/>
    </xf>
    <xf numFmtId="176" fontId="6" fillId="3" borderId="1" xfId="1" applyNumberFormat="1" applyFont="1" applyFill="1" applyBorder="1" applyAlignment="1">
      <alignment horizontal="center" vertical="center" shrinkToFit="1"/>
    </xf>
    <xf numFmtId="0" fontId="6" fillId="3" borderId="1" xfId="1" applyNumberFormat="1" applyFont="1" applyFill="1" applyBorder="1" applyAlignment="1">
      <alignment horizontal="center" vertical="center" shrinkToFit="1"/>
    </xf>
    <xf numFmtId="176" fontId="6" fillId="3" borderId="1" xfId="2" applyNumberFormat="1" applyFont="1" applyFill="1" applyBorder="1" applyAlignment="1">
      <alignment horizontal="center" vertical="center" shrinkToFit="1"/>
    </xf>
    <xf numFmtId="179" fontId="6" fillId="3" borderId="1" xfId="1" applyNumberFormat="1" applyFont="1" applyFill="1" applyBorder="1" applyAlignment="1">
      <alignment horizontal="center" vertical="center" shrinkToFit="1"/>
    </xf>
    <xf numFmtId="0" fontId="2" fillId="3" borderId="1" xfId="1" applyFill="1" applyBorder="1">
      <alignment vertical="center"/>
    </xf>
    <xf numFmtId="0" fontId="2" fillId="3" borderId="0" xfId="1" applyFill="1">
      <alignment vertical="center"/>
    </xf>
    <xf numFmtId="0" fontId="0" fillId="0" borderId="1" xfId="2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shrinkToFit="1"/>
    </xf>
    <xf numFmtId="0" fontId="2" fillId="3" borderId="1" xfId="1" applyNumberFormat="1" applyFont="1" applyFill="1" applyBorder="1" applyAlignment="1">
      <alignment horizontal="center" vertical="center" shrinkToFit="1"/>
    </xf>
    <xf numFmtId="176" fontId="2" fillId="3" borderId="0" xfId="1" applyNumberFormat="1" applyFill="1">
      <alignment vertical="center"/>
    </xf>
    <xf numFmtId="0" fontId="6" fillId="3" borderId="1" xfId="2" applyNumberFormat="1" applyFont="1" applyFill="1" applyBorder="1" applyAlignment="1">
      <alignment horizontal="center" vertical="center" shrinkToFit="1"/>
    </xf>
    <xf numFmtId="176" fontId="6" fillId="0" borderId="1" xfId="3" applyNumberFormat="1" applyFont="1" applyFill="1" applyBorder="1" applyAlignment="1">
      <alignment horizontal="center" vertical="center" shrinkToFit="1"/>
    </xf>
    <xf numFmtId="181" fontId="6" fillId="0" borderId="1" xfId="2" applyNumberFormat="1" applyFont="1" applyFill="1" applyBorder="1" applyAlignment="1">
      <alignment horizontal="center" vertical="center" shrinkToFit="1"/>
    </xf>
    <xf numFmtId="178" fontId="6" fillId="0" borderId="3" xfId="2" applyNumberFormat="1" applyFont="1" applyFill="1" applyBorder="1" applyAlignment="1">
      <alignment horizontal="center" vertical="center" shrinkToFit="1"/>
    </xf>
    <xf numFmtId="178" fontId="6" fillId="0" borderId="1" xfId="2" applyNumberFormat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181" fontId="6" fillId="0" borderId="1" xfId="1" applyNumberFormat="1" applyFont="1" applyFill="1" applyBorder="1" applyAlignment="1">
      <alignment horizontal="center" vertical="center" shrinkToFit="1"/>
    </xf>
    <xf numFmtId="0" fontId="2" fillId="0" borderId="13" xfId="1" applyFill="1" applyBorder="1">
      <alignment vertical="center"/>
    </xf>
    <xf numFmtId="0" fontId="2" fillId="0" borderId="0" xfId="1" applyFill="1" applyBorder="1" applyAlignment="1">
      <alignment horizontal="center" vertical="center"/>
    </xf>
    <xf numFmtId="176" fontId="2" fillId="0" borderId="0" xfId="1" applyNumberFormat="1" applyFill="1" applyBorder="1">
      <alignment vertical="center"/>
    </xf>
    <xf numFmtId="186" fontId="2" fillId="0" borderId="0" xfId="1" applyNumberFormat="1" applyFill="1" applyBorder="1">
      <alignment vertical="center"/>
    </xf>
  </cellXfs>
  <cellStyles count="4">
    <cellStyle name="常规" xfId="0" builtinId="0"/>
    <cellStyle name="常规 3 2" xfId="1"/>
    <cellStyle name="常规_Sheet1 2" xfId="3"/>
    <cellStyle name="常规_Sheet1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6"/>
  <sheetViews>
    <sheetView tabSelected="1" topLeftCell="A109" workbookViewId="0">
      <selection activeCell="G16" sqref="G16"/>
    </sheetView>
  </sheetViews>
  <sheetFormatPr defaultRowHeight="14.25"/>
  <cols>
    <col min="1" max="1" width="6.875" style="26" customWidth="1"/>
    <col min="2" max="2" width="10.625" style="131" customWidth="1"/>
    <col min="3" max="3" width="28" style="26" customWidth="1"/>
    <col min="4" max="4" width="8.375" style="132" customWidth="1"/>
    <col min="5" max="5" width="12.375" style="132" customWidth="1"/>
    <col min="6" max="6" width="10.75" style="132" customWidth="1"/>
    <col min="7" max="7" width="6.375" style="26" customWidth="1"/>
    <col min="8" max="8" width="6.875" style="26" customWidth="1"/>
    <col min="9" max="10" width="6.375" style="26" customWidth="1"/>
    <col min="11" max="11" width="8" style="26" customWidth="1"/>
    <col min="12" max="13" width="6.375" style="26" customWidth="1"/>
    <col min="14" max="14" width="8.25" style="26" customWidth="1"/>
    <col min="15" max="15" width="6.375" style="26" customWidth="1"/>
    <col min="16" max="16" width="7.25" style="26" customWidth="1"/>
    <col min="17" max="17" width="9" style="26" customWidth="1"/>
    <col min="18" max="30" width="6.375" style="26" customWidth="1"/>
    <col min="31" max="31" width="7.125" style="26" customWidth="1"/>
    <col min="32" max="32" width="6.875" style="26" customWidth="1"/>
    <col min="33" max="33" width="6.375" style="26" customWidth="1"/>
    <col min="34" max="34" width="7.75" style="26" customWidth="1"/>
    <col min="35" max="35" width="7.25" style="26" customWidth="1"/>
    <col min="36" max="37" width="6.375" style="26" customWidth="1"/>
    <col min="38" max="256" width="9" style="26"/>
    <col min="257" max="257" width="6.875" style="26" customWidth="1"/>
    <col min="258" max="258" width="10.625" style="26" customWidth="1"/>
    <col min="259" max="259" width="28" style="26" customWidth="1"/>
    <col min="260" max="260" width="8.375" style="26" customWidth="1"/>
    <col min="261" max="261" width="12.375" style="26" customWidth="1"/>
    <col min="262" max="262" width="10.75" style="26" customWidth="1"/>
    <col min="263" max="263" width="6.375" style="26" customWidth="1"/>
    <col min="264" max="264" width="6.875" style="26" customWidth="1"/>
    <col min="265" max="266" width="6.375" style="26" customWidth="1"/>
    <col min="267" max="267" width="8" style="26" customWidth="1"/>
    <col min="268" max="269" width="6.375" style="26" customWidth="1"/>
    <col min="270" max="270" width="8.25" style="26" customWidth="1"/>
    <col min="271" max="271" width="6.375" style="26" customWidth="1"/>
    <col min="272" max="272" width="7.25" style="26" customWidth="1"/>
    <col min="273" max="273" width="9" style="26" customWidth="1"/>
    <col min="274" max="286" width="6.375" style="26" customWidth="1"/>
    <col min="287" max="287" width="7.125" style="26" customWidth="1"/>
    <col min="288" max="288" width="6.875" style="26" customWidth="1"/>
    <col min="289" max="289" width="6.375" style="26" customWidth="1"/>
    <col min="290" max="290" width="7.75" style="26" customWidth="1"/>
    <col min="291" max="291" width="7.25" style="26" customWidth="1"/>
    <col min="292" max="293" width="6.375" style="26" customWidth="1"/>
    <col min="294" max="512" width="9" style="26"/>
    <col min="513" max="513" width="6.875" style="26" customWidth="1"/>
    <col min="514" max="514" width="10.625" style="26" customWidth="1"/>
    <col min="515" max="515" width="28" style="26" customWidth="1"/>
    <col min="516" max="516" width="8.375" style="26" customWidth="1"/>
    <col min="517" max="517" width="12.375" style="26" customWidth="1"/>
    <col min="518" max="518" width="10.75" style="26" customWidth="1"/>
    <col min="519" max="519" width="6.375" style="26" customWidth="1"/>
    <col min="520" max="520" width="6.875" style="26" customWidth="1"/>
    <col min="521" max="522" width="6.375" style="26" customWidth="1"/>
    <col min="523" max="523" width="8" style="26" customWidth="1"/>
    <col min="524" max="525" width="6.375" style="26" customWidth="1"/>
    <col min="526" max="526" width="8.25" style="26" customWidth="1"/>
    <col min="527" max="527" width="6.375" style="26" customWidth="1"/>
    <col min="528" max="528" width="7.25" style="26" customWidth="1"/>
    <col min="529" max="529" width="9" style="26" customWidth="1"/>
    <col min="530" max="542" width="6.375" style="26" customWidth="1"/>
    <col min="543" max="543" width="7.125" style="26" customWidth="1"/>
    <col min="544" max="544" width="6.875" style="26" customWidth="1"/>
    <col min="545" max="545" width="6.375" style="26" customWidth="1"/>
    <col min="546" max="546" width="7.75" style="26" customWidth="1"/>
    <col min="547" max="547" width="7.25" style="26" customWidth="1"/>
    <col min="548" max="549" width="6.375" style="26" customWidth="1"/>
    <col min="550" max="768" width="9" style="26"/>
    <col min="769" max="769" width="6.875" style="26" customWidth="1"/>
    <col min="770" max="770" width="10.625" style="26" customWidth="1"/>
    <col min="771" max="771" width="28" style="26" customWidth="1"/>
    <col min="772" max="772" width="8.375" style="26" customWidth="1"/>
    <col min="773" max="773" width="12.375" style="26" customWidth="1"/>
    <col min="774" max="774" width="10.75" style="26" customWidth="1"/>
    <col min="775" max="775" width="6.375" style="26" customWidth="1"/>
    <col min="776" max="776" width="6.875" style="26" customWidth="1"/>
    <col min="777" max="778" width="6.375" style="26" customWidth="1"/>
    <col min="779" max="779" width="8" style="26" customWidth="1"/>
    <col min="780" max="781" width="6.375" style="26" customWidth="1"/>
    <col min="782" max="782" width="8.25" style="26" customWidth="1"/>
    <col min="783" max="783" width="6.375" style="26" customWidth="1"/>
    <col min="784" max="784" width="7.25" style="26" customWidth="1"/>
    <col min="785" max="785" width="9" style="26" customWidth="1"/>
    <col min="786" max="798" width="6.375" style="26" customWidth="1"/>
    <col min="799" max="799" width="7.125" style="26" customWidth="1"/>
    <col min="800" max="800" width="6.875" style="26" customWidth="1"/>
    <col min="801" max="801" width="6.375" style="26" customWidth="1"/>
    <col min="802" max="802" width="7.75" style="26" customWidth="1"/>
    <col min="803" max="803" width="7.25" style="26" customWidth="1"/>
    <col min="804" max="805" width="6.375" style="26" customWidth="1"/>
    <col min="806" max="1024" width="9" style="26"/>
    <col min="1025" max="1025" width="6.875" style="26" customWidth="1"/>
    <col min="1026" max="1026" width="10.625" style="26" customWidth="1"/>
    <col min="1027" max="1027" width="28" style="26" customWidth="1"/>
    <col min="1028" max="1028" width="8.375" style="26" customWidth="1"/>
    <col min="1029" max="1029" width="12.375" style="26" customWidth="1"/>
    <col min="1030" max="1030" width="10.75" style="26" customWidth="1"/>
    <col min="1031" max="1031" width="6.375" style="26" customWidth="1"/>
    <col min="1032" max="1032" width="6.875" style="26" customWidth="1"/>
    <col min="1033" max="1034" width="6.375" style="26" customWidth="1"/>
    <col min="1035" max="1035" width="8" style="26" customWidth="1"/>
    <col min="1036" max="1037" width="6.375" style="26" customWidth="1"/>
    <col min="1038" max="1038" width="8.25" style="26" customWidth="1"/>
    <col min="1039" max="1039" width="6.375" style="26" customWidth="1"/>
    <col min="1040" max="1040" width="7.25" style="26" customWidth="1"/>
    <col min="1041" max="1041" width="9" style="26" customWidth="1"/>
    <col min="1042" max="1054" width="6.375" style="26" customWidth="1"/>
    <col min="1055" max="1055" width="7.125" style="26" customWidth="1"/>
    <col min="1056" max="1056" width="6.875" style="26" customWidth="1"/>
    <col min="1057" max="1057" width="6.375" style="26" customWidth="1"/>
    <col min="1058" max="1058" width="7.75" style="26" customWidth="1"/>
    <col min="1059" max="1059" width="7.25" style="26" customWidth="1"/>
    <col min="1060" max="1061" width="6.375" style="26" customWidth="1"/>
    <col min="1062" max="1280" width="9" style="26"/>
    <col min="1281" max="1281" width="6.875" style="26" customWidth="1"/>
    <col min="1282" max="1282" width="10.625" style="26" customWidth="1"/>
    <col min="1283" max="1283" width="28" style="26" customWidth="1"/>
    <col min="1284" max="1284" width="8.375" style="26" customWidth="1"/>
    <col min="1285" max="1285" width="12.375" style="26" customWidth="1"/>
    <col min="1286" max="1286" width="10.75" style="26" customWidth="1"/>
    <col min="1287" max="1287" width="6.375" style="26" customWidth="1"/>
    <col min="1288" max="1288" width="6.875" style="26" customWidth="1"/>
    <col min="1289" max="1290" width="6.375" style="26" customWidth="1"/>
    <col min="1291" max="1291" width="8" style="26" customWidth="1"/>
    <col min="1292" max="1293" width="6.375" style="26" customWidth="1"/>
    <col min="1294" max="1294" width="8.25" style="26" customWidth="1"/>
    <col min="1295" max="1295" width="6.375" style="26" customWidth="1"/>
    <col min="1296" max="1296" width="7.25" style="26" customWidth="1"/>
    <col min="1297" max="1297" width="9" style="26" customWidth="1"/>
    <col min="1298" max="1310" width="6.375" style="26" customWidth="1"/>
    <col min="1311" max="1311" width="7.125" style="26" customWidth="1"/>
    <col min="1312" max="1312" width="6.875" style="26" customWidth="1"/>
    <col min="1313" max="1313" width="6.375" style="26" customWidth="1"/>
    <col min="1314" max="1314" width="7.75" style="26" customWidth="1"/>
    <col min="1315" max="1315" width="7.25" style="26" customWidth="1"/>
    <col min="1316" max="1317" width="6.375" style="26" customWidth="1"/>
    <col min="1318" max="1536" width="9" style="26"/>
    <col min="1537" max="1537" width="6.875" style="26" customWidth="1"/>
    <col min="1538" max="1538" width="10.625" style="26" customWidth="1"/>
    <col min="1539" max="1539" width="28" style="26" customWidth="1"/>
    <col min="1540" max="1540" width="8.375" style="26" customWidth="1"/>
    <col min="1541" max="1541" width="12.375" style="26" customWidth="1"/>
    <col min="1542" max="1542" width="10.75" style="26" customWidth="1"/>
    <col min="1543" max="1543" width="6.375" style="26" customWidth="1"/>
    <col min="1544" max="1544" width="6.875" style="26" customWidth="1"/>
    <col min="1545" max="1546" width="6.375" style="26" customWidth="1"/>
    <col min="1547" max="1547" width="8" style="26" customWidth="1"/>
    <col min="1548" max="1549" width="6.375" style="26" customWidth="1"/>
    <col min="1550" max="1550" width="8.25" style="26" customWidth="1"/>
    <col min="1551" max="1551" width="6.375" style="26" customWidth="1"/>
    <col min="1552" max="1552" width="7.25" style="26" customWidth="1"/>
    <col min="1553" max="1553" width="9" style="26" customWidth="1"/>
    <col min="1554" max="1566" width="6.375" style="26" customWidth="1"/>
    <col min="1567" max="1567" width="7.125" style="26" customWidth="1"/>
    <col min="1568" max="1568" width="6.875" style="26" customWidth="1"/>
    <col min="1569" max="1569" width="6.375" style="26" customWidth="1"/>
    <col min="1570" max="1570" width="7.75" style="26" customWidth="1"/>
    <col min="1571" max="1571" width="7.25" style="26" customWidth="1"/>
    <col min="1572" max="1573" width="6.375" style="26" customWidth="1"/>
    <col min="1574" max="1792" width="9" style="26"/>
    <col min="1793" max="1793" width="6.875" style="26" customWidth="1"/>
    <col min="1794" max="1794" width="10.625" style="26" customWidth="1"/>
    <col min="1795" max="1795" width="28" style="26" customWidth="1"/>
    <col min="1796" max="1796" width="8.375" style="26" customWidth="1"/>
    <col min="1797" max="1797" width="12.375" style="26" customWidth="1"/>
    <col min="1798" max="1798" width="10.75" style="26" customWidth="1"/>
    <col min="1799" max="1799" width="6.375" style="26" customWidth="1"/>
    <col min="1800" max="1800" width="6.875" style="26" customWidth="1"/>
    <col min="1801" max="1802" width="6.375" style="26" customWidth="1"/>
    <col min="1803" max="1803" width="8" style="26" customWidth="1"/>
    <col min="1804" max="1805" width="6.375" style="26" customWidth="1"/>
    <col min="1806" max="1806" width="8.25" style="26" customWidth="1"/>
    <col min="1807" max="1807" width="6.375" style="26" customWidth="1"/>
    <col min="1808" max="1808" width="7.25" style="26" customWidth="1"/>
    <col min="1809" max="1809" width="9" style="26" customWidth="1"/>
    <col min="1810" max="1822" width="6.375" style="26" customWidth="1"/>
    <col min="1823" max="1823" width="7.125" style="26" customWidth="1"/>
    <col min="1824" max="1824" width="6.875" style="26" customWidth="1"/>
    <col min="1825" max="1825" width="6.375" style="26" customWidth="1"/>
    <col min="1826" max="1826" width="7.75" style="26" customWidth="1"/>
    <col min="1827" max="1827" width="7.25" style="26" customWidth="1"/>
    <col min="1828" max="1829" width="6.375" style="26" customWidth="1"/>
    <col min="1830" max="2048" width="9" style="26"/>
    <col min="2049" max="2049" width="6.875" style="26" customWidth="1"/>
    <col min="2050" max="2050" width="10.625" style="26" customWidth="1"/>
    <col min="2051" max="2051" width="28" style="26" customWidth="1"/>
    <col min="2052" max="2052" width="8.375" style="26" customWidth="1"/>
    <col min="2053" max="2053" width="12.375" style="26" customWidth="1"/>
    <col min="2054" max="2054" width="10.75" style="26" customWidth="1"/>
    <col min="2055" max="2055" width="6.375" style="26" customWidth="1"/>
    <col min="2056" max="2056" width="6.875" style="26" customWidth="1"/>
    <col min="2057" max="2058" width="6.375" style="26" customWidth="1"/>
    <col min="2059" max="2059" width="8" style="26" customWidth="1"/>
    <col min="2060" max="2061" width="6.375" style="26" customWidth="1"/>
    <col min="2062" max="2062" width="8.25" style="26" customWidth="1"/>
    <col min="2063" max="2063" width="6.375" style="26" customWidth="1"/>
    <col min="2064" max="2064" width="7.25" style="26" customWidth="1"/>
    <col min="2065" max="2065" width="9" style="26" customWidth="1"/>
    <col min="2066" max="2078" width="6.375" style="26" customWidth="1"/>
    <col min="2079" max="2079" width="7.125" style="26" customWidth="1"/>
    <col min="2080" max="2080" width="6.875" style="26" customWidth="1"/>
    <col min="2081" max="2081" width="6.375" style="26" customWidth="1"/>
    <col min="2082" max="2082" width="7.75" style="26" customWidth="1"/>
    <col min="2083" max="2083" width="7.25" style="26" customWidth="1"/>
    <col min="2084" max="2085" width="6.375" style="26" customWidth="1"/>
    <col min="2086" max="2304" width="9" style="26"/>
    <col min="2305" max="2305" width="6.875" style="26" customWidth="1"/>
    <col min="2306" max="2306" width="10.625" style="26" customWidth="1"/>
    <col min="2307" max="2307" width="28" style="26" customWidth="1"/>
    <col min="2308" max="2308" width="8.375" style="26" customWidth="1"/>
    <col min="2309" max="2309" width="12.375" style="26" customWidth="1"/>
    <col min="2310" max="2310" width="10.75" style="26" customWidth="1"/>
    <col min="2311" max="2311" width="6.375" style="26" customWidth="1"/>
    <col min="2312" max="2312" width="6.875" style="26" customWidth="1"/>
    <col min="2313" max="2314" width="6.375" style="26" customWidth="1"/>
    <col min="2315" max="2315" width="8" style="26" customWidth="1"/>
    <col min="2316" max="2317" width="6.375" style="26" customWidth="1"/>
    <col min="2318" max="2318" width="8.25" style="26" customWidth="1"/>
    <col min="2319" max="2319" width="6.375" style="26" customWidth="1"/>
    <col min="2320" max="2320" width="7.25" style="26" customWidth="1"/>
    <col min="2321" max="2321" width="9" style="26" customWidth="1"/>
    <col min="2322" max="2334" width="6.375" style="26" customWidth="1"/>
    <col min="2335" max="2335" width="7.125" style="26" customWidth="1"/>
    <col min="2336" max="2336" width="6.875" style="26" customWidth="1"/>
    <col min="2337" max="2337" width="6.375" style="26" customWidth="1"/>
    <col min="2338" max="2338" width="7.75" style="26" customWidth="1"/>
    <col min="2339" max="2339" width="7.25" style="26" customWidth="1"/>
    <col min="2340" max="2341" width="6.375" style="26" customWidth="1"/>
    <col min="2342" max="2560" width="9" style="26"/>
    <col min="2561" max="2561" width="6.875" style="26" customWidth="1"/>
    <col min="2562" max="2562" width="10.625" style="26" customWidth="1"/>
    <col min="2563" max="2563" width="28" style="26" customWidth="1"/>
    <col min="2564" max="2564" width="8.375" style="26" customWidth="1"/>
    <col min="2565" max="2565" width="12.375" style="26" customWidth="1"/>
    <col min="2566" max="2566" width="10.75" style="26" customWidth="1"/>
    <col min="2567" max="2567" width="6.375" style="26" customWidth="1"/>
    <col min="2568" max="2568" width="6.875" style="26" customWidth="1"/>
    <col min="2569" max="2570" width="6.375" style="26" customWidth="1"/>
    <col min="2571" max="2571" width="8" style="26" customWidth="1"/>
    <col min="2572" max="2573" width="6.375" style="26" customWidth="1"/>
    <col min="2574" max="2574" width="8.25" style="26" customWidth="1"/>
    <col min="2575" max="2575" width="6.375" style="26" customWidth="1"/>
    <col min="2576" max="2576" width="7.25" style="26" customWidth="1"/>
    <col min="2577" max="2577" width="9" style="26" customWidth="1"/>
    <col min="2578" max="2590" width="6.375" style="26" customWidth="1"/>
    <col min="2591" max="2591" width="7.125" style="26" customWidth="1"/>
    <col min="2592" max="2592" width="6.875" style="26" customWidth="1"/>
    <col min="2593" max="2593" width="6.375" style="26" customWidth="1"/>
    <col min="2594" max="2594" width="7.75" style="26" customWidth="1"/>
    <col min="2595" max="2595" width="7.25" style="26" customWidth="1"/>
    <col min="2596" max="2597" width="6.375" style="26" customWidth="1"/>
    <col min="2598" max="2816" width="9" style="26"/>
    <col min="2817" max="2817" width="6.875" style="26" customWidth="1"/>
    <col min="2818" max="2818" width="10.625" style="26" customWidth="1"/>
    <col min="2819" max="2819" width="28" style="26" customWidth="1"/>
    <col min="2820" max="2820" width="8.375" style="26" customWidth="1"/>
    <col min="2821" max="2821" width="12.375" style="26" customWidth="1"/>
    <col min="2822" max="2822" width="10.75" style="26" customWidth="1"/>
    <col min="2823" max="2823" width="6.375" style="26" customWidth="1"/>
    <col min="2824" max="2824" width="6.875" style="26" customWidth="1"/>
    <col min="2825" max="2826" width="6.375" style="26" customWidth="1"/>
    <col min="2827" max="2827" width="8" style="26" customWidth="1"/>
    <col min="2828" max="2829" width="6.375" style="26" customWidth="1"/>
    <col min="2830" max="2830" width="8.25" style="26" customWidth="1"/>
    <col min="2831" max="2831" width="6.375" style="26" customWidth="1"/>
    <col min="2832" max="2832" width="7.25" style="26" customWidth="1"/>
    <col min="2833" max="2833" width="9" style="26" customWidth="1"/>
    <col min="2834" max="2846" width="6.375" style="26" customWidth="1"/>
    <col min="2847" max="2847" width="7.125" style="26" customWidth="1"/>
    <col min="2848" max="2848" width="6.875" style="26" customWidth="1"/>
    <col min="2849" max="2849" width="6.375" style="26" customWidth="1"/>
    <col min="2850" max="2850" width="7.75" style="26" customWidth="1"/>
    <col min="2851" max="2851" width="7.25" style="26" customWidth="1"/>
    <col min="2852" max="2853" width="6.375" style="26" customWidth="1"/>
    <col min="2854" max="3072" width="9" style="26"/>
    <col min="3073" max="3073" width="6.875" style="26" customWidth="1"/>
    <col min="3074" max="3074" width="10.625" style="26" customWidth="1"/>
    <col min="3075" max="3075" width="28" style="26" customWidth="1"/>
    <col min="3076" max="3076" width="8.375" style="26" customWidth="1"/>
    <col min="3077" max="3077" width="12.375" style="26" customWidth="1"/>
    <col min="3078" max="3078" width="10.75" style="26" customWidth="1"/>
    <col min="3079" max="3079" width="6.375" style="26" customWidth="1"/>
    <col min="3080" max="3080" width="6.875" style="26" customWidth="1"/>
    <col min="3081" max="3082" width="6.375" style="26" customWidth="1"/>
    <col min="3083" max="3083" width="8" style="26" customWidth="1"/>
    <col min="3084" max="3085" width="6.375" style="26" customWidth="1"/>
    <col min="3086" max="3086" width="8.25" style="26" customWidth="1"/>
    <col min="3087" max="3087" width="6.375" style="26" customWidth="1"/>
    <col min="3088" max="3088" width="7.25" style="26" customWidth="1"/>
    <col min="3089" max="3089" width="9" style="26" customWidth="1"/>
    <col min="3090" max="3102" width="6.375" style="26" customWidth="1"/>
    <col min="3103" max="3103" width="7.125" style="26" customWidth="1"/>
    <col min="3104" max="3104" width="6.875" style="26" customWidth="1"/>
    <col min="3105" max="3105" width="6.375" style="26" customWidth="1"/>
    <col min="3106" max="3106" width="7.75" style="26" customWidth="1"/>
    <col min="3107" max="3107" width="7.25" style="26" customWidth="1"/>
    <col min="3108" max="3109" width="6.375" style="26" customWidth="1"/>
    <col min="3110" max="3328" width="9" style="26"/>
    <col min="3329" max="3329" width="6.875" style="26" customWidth="1"/>
    <col min="3330" max="3330" width="10.625" style="26" customWidth="1"/>
    <col min="3331" max="3331" width="28" style="26" customWidth="1"/>
    <col min="3332" max="3332" width="8.375" style="26" customWidth="1"/>
    <col min="3333" max="3333" width="12.375" style="26" customWidth="1"/>
    <col min="3334" max="3334" width="10.75" style="26" customWidth="1"/>
    <col min="3335" max="3335" width="6.375" style="26" customWidth="1"/>
    <col min="3336" max="3336" width="6.875" style="26" customWidth="1"/>
    <col min="3337" max="3338" width="6.375" style="26" customWidth="1"/>
    <col min="3339" max="3339" width="8" style="26" customWidth="1"/>
    <col min="3340" max="3341" width="6.375" style="26" customWidth="1"/>
    <col min="3342" max="3342" width="8.25" style="26" customWidth="1"/>
    <col min="3343" max="3343" width="6.375" style="26" customWidth="1"/>
    <col min="3344" max="3344" width="7.25" style="26" customWidth="1"/>
    <col min="3345" max="3345" width="9" style="26" customWidth="1"/>
    <col min="3346" max="3358" width="6.375" style="26" customWidth="1"/>
    <col min="3359" max="3359" width="7.125" style="26" customWidth="1"/>
    <col min="3360" max="3360" width="6.875" style="26" customWidth="1"/>
    <col min="3361" max="3361" width="6.375" style="26" customWidth="1"/>
    <col min="3362" max="3362" width="7.75" style="26" customWidth="1"/>
    <col min="3363" max="3363" width="7.25" style="26" customWidth="1"/>
    <col min="3364" max="3365" width="6.375" style="26" customWidth="1"/>
    <col min="3366" max="3584" width="9" style="26"/>
    <col min="3585" max="3585" width="6.875" style="26" customWidth="1"/>
    <col min="3586" max="3586" width="10.625" style="26" customWidth="1"/>
    <col min="3587" max="3587" width="28" style="26" customWidth="1"/>
    <col min="3588" max="3588" width="8.375" style="26" customWidth="1"/>
    <col min="3589" max="3589" width="12.375" style="26" customWidth="1"/>
    <col min="3590" max="3590" width="10.75" style="26" customWidth="1"/>
    <col min="3591" max="3591" width="6.375" style="26" customWidth="1"/>
    <col min="3592" max="3592" width="6.875" style="26" customWidth="1"/>
    <col min="3593" max="3594" width="6.375" style="26" customWidth="1"/>
    <col min="3595" max="3595" width="8" style="26" customWidth="1"/>
    <col min="3596" max="3597" width="6.375" style="26" customWidth="1"/>
    <col min="3598" max="3598" width="8.25" style="26" customWidth="1"/>
    <col min="3599" max="3599" width="6.375" style="26" customWidth="1"/>
    <col min="3600" max="3600" width="7.25" style="26" customWidth="1"/>
    <col min="3601" max="3601" width="9" style="26" customWidth="1"/>
    <col min="3602" max="3614" width="6.375" style="26" customWidth="1"/>
    <col min="3615" max="3615" width="7.125" style="26" customWidth="1"/>
    <col min="3616" max="3616" width="6.875" style="26" customWidth="1"/>
    <col min="3617" max="3617" width="6.375" style="26" customWidth="1"/>
    <col min="3618" max="3618" width="7.75" style="26" customWidth="1"/>
    <col min="3619" max="3619" width="7.25" style="26" customWidth="1"/>
    <col min="3620" max="3621" width="6.375" style="26" customWidth="1"/>
    <col min="3622" max="3840" width="9" style="26"/>
    <col min="3841" max="3841" width="6.875" style="26" customWidth="1"/>
    <col min="3842" max="3842" width="10.625" style="26" customWidth="1"/>
    <col min="3843" max="3843" width="28" style="26" customWidth="1"/>
    <col min="3844" max="3844" width="8.375" style="26" customWidth="1"/>
    <col min="3845" max="3845" width="12.375" style="26" customWidth="1"/>
    <col min="3846" max="3846" width="10.75" style="26" customWidth="1"/>
    <col min="3847" max="3847" width="6.375" style="26" customWidth="1"/>
    <col min="3848" max="3848" width="6.875" style="26" customWidth="1"/>
    <col min="3849" max="3850" width="6.375" style="26" customWidth="1"/>
    <col min="3851" max="3851" width="8" style="26" customWidth="1"/>
    <col min="3852" max="3853" width="6.375" style="26" customWidth="1"/>
    <col min="3854" max="3854" width="8.25" style="26" customWidth="1"/>
    <col min="3855" max="3855" width="6.375" style="26" customWidth="1"/>
    <col min="3856" max="3856" width="7.25" style="26" customWidth="1"/>
    <col min="3857" max="3857" width="9" style="26" customWidth="1"/>
    <col min="3858" max="3870" width="6.375" style="26" customWidth="1"/>
    <col min="3871" max="3871" width="7.125" style="26" customWidth="1"/>
    <col min="3872" max="3872" width="6.875" style="26" customWidth="1"/>
    <col min="3873" max="3873" width="6.375" style="26" customWidth="1"/>
    <col min="3874" max="3874" width="7.75" style="26" customWidth="1"/>
    <col min="3875" max="3875" width="7.25" style="26" customWidth="1"/>
    <col min="3876" max="3877" width="6.375" style="26" customWidth="1"/>
    <col min="3878" max="4096" width="9" style="26"/>
    <col min="4097" max="4097" width="6.875" style="26" customWidth="1"/>
    <col min="4098" max="4098" width="10.625" style="26" customWidth="1"/>
    <col min="4099" max="4099" width="28" style="26" customWidth="1"/>
    <col min="4100" max="4100" width="8.375" style="26" customWidth="1"/>
    <col min="4101" max="4101" width="12.375" style="26" customWidth="1"/>
    <col min="4102" max="4102" width="10.75" style="26" customWidth="1"/>
    <col min="4103" max="4103" width="6.375" style="26" customWidth="1"/>
    <col min="4104" max="4104" width="6.875" style="26" customWidth="1"/>
    <col min="4105" max="4106" width="6.375" style="26" customWidth="1"/>
    <col min="4107" max="4107" width="8" style="26" customWidth="1"/>
    <col min="4108" max="4109" width="6.375" style="26" customWidth="1"/>
    <col min="4110" max="4110" width="8.25" style="26" customWidth="1"/>
    <col min="4111" max="4111" width="6.375" style="26" customWidth="1"/>
    <col min="4112" max="4112" width="7.25" style="26" customWidth="1"/>
    <col min="4113" max="4113" width="9" style="26" customWidth="1"/>
    <col min="4114" max="4126" width="6.375" style="26" customWidth="1"/>
    <col min="4127" max="4127" width="7.125" style="26" customWidth="1"/>
    <col min="4128" max="4128" width="6.875" style="26" customWidth="1"/>
    <col min="4129" max="4129" width="6.375" style="26" customWidth="1"/>
    <col min="4130" max="4130" width="7.75" style="26" customWidth="1"/>
    <col min="4131" max="4131" width="7.25" style="26" customWidth="1"/>
    <col min="4132" max="4133" width="6.375" style="26" customWidth="1"/>
    <col min="4134" max="4352" width="9" style="26"/>
    <col min="4353" max="4353" width="6.875" style="26" customWidth="1"/>
    <col min="4354" max="4354" width="10.625" style="26" customWidth="1"/>
    <col min="4355" max="4355" width="28" style="26" customWidth="1"/>
    <col min="4356" max="4356" width="8.375" style="26" customWidth="1"/>
    <col min="4357" max="4357" width="12.375" style="26" customWidth="1"/>
    <col min="4358" max="4358" width="10.75" style="26" customWidth="1"/>
    <col min="4359" max="4359" width="6.375" style="26" customWidth="1"/>
    <col min="4360" max="4360" width="6.875" style="26" customWidth="1"/>
    <col min="4361" max="4362" width="6.375" style="26" customWidth="1"/>
    <col min="4363" max="4363" width="8" style="26" customWidth="1"/>
    <col min="4364" max="4365" width="6.375" style="26" customWidth="1"/>
    <col min="4366" max="4366" width="8.25" style="26" customWidth="1"/>
    <col min="4367" max="4367" width="6.375" style="26" customWidth="1"/>
    <col min="4368" max="4368" width="7.25" style="26" customWidth="1"/>
    <col min="4369" max="4369" width="9" style="26" customWidth="1"/>
    <col min="4370" max="4382" width="6.375" style="26" customWidth="1"/>
    <col min="4383" max="4383" width="7.125" style="26" customWidth="1"/>
    <col min="4384" max="4384" width="6.875" style="26" customWidth="1"/>
    <col min="4385" max="4385" width="6.375" style="26" customWidth="1"/>
    <col min="4386" max="4386" width="7.75" style="26" customWidth="1"/>
    <col min="4387" max="4387" width="7.25" style="26" customWidth="1"/>
    <col min="4388" max="4389" width="6.375" style="26" customWidth="1"/>
    <col min="4390" max="4608" width="9" style="26"/>
    <col min="4609" max="4609" width="6.875" style="26" customWidth="1"/>
    <col min="4610" max="4610" width="10.625" style="26" customWidth="1"/>
    <col min="4611" max="4611" width="28" style="26" customWidth="1"/>
    <col min="4612" max="4612" width="8.375" style="26" customWidth="1"/>
    <col min="4613" max="4613" width="12.375" style="26" customWidth="1"/>
    <col min="4614" max="4614" width="10.75" style="26" customWidth="1"/>
    <col min="4615" max="4615" width="6.375" style="26" customWidth="1"/>
    <col min="4616" max="4616" width="6.875" style="26" customWidth="1"/>
    <col min="4617" max="4618" width="6.375" style="26" customWidth="1"/>
    <col min="4619" max="4619" width="8" style="26" customWidth="1"/>
    <col min="4620" max="4621" width="6.375" style="26" customWidth="1"/>
    <col min="4622" max="4622" width="8.25" style="26" customWidth="1"/>
    <col min="4623" max="4623" width="6.375" style="26" customWidth="1"/>
    <col min="4624" max="4624" width="7.25" style="26" customWidth="1"/>
    <col min="4625" max="4625" width="9" style="26" customWidth="1"/>
    <col min="4626" max="4638" width="6.375" style="26" customWidth="1"/>
    <col min="4639" max="4639" width="7.125" style="26" customWidth="1"/>
    <col min="4640" max="4640" width="6.875" style="26" customWidth="1"/>
    <col min="4641" max="4641" width="6.375" style="26" customWidth="1"/>
    <col min="4642" max="4642" width="7.75" style="26" customWidth="1"/>
    <col min="4643" max="4643" width="7.25" style="26" customWidth="1"/>
    <col min="4644" max="4645" width="6.375" style="26" customWidth="1"/>
    <col min="4646" max="4864" width="9" style="26"/>
    <col min="4865" max="4865" width="6.875" style="26" customWidth="1"/>
    <col min="4866" max="4866" width="10.625" style="26" customWidth="1"/>
    <col min="4867" max="4867" width="28" style="26" customWidth="1"/>
    <col min="4868" max="4868" width="8.375" style="26" customWidth="1"/>
    <col min="4869" max="4869" width="12.375" style="26" customWidth="1"/>
    <col min="4870" max="4870" width="10.75" style="26" customWidth="1"/>
    <col min="4871" max="4871" width="6.375" style="26" customWidth="1"/>
    <col min="4872" max="4872" width="6.875" style="26" customWidth="1"/>
    <col min="4873" max="4874" width="6.375" style="26" customWidth="1"/>
    <col min="4875" max="4875" width="8" style="26" customWidth="1"/>
    <col min="4876" max="4877" width="6.375" style="26" customWidth="1"/>
    <col min="4878" max="4878" width="8.25" style="26" customWidth="1"/>
    <col min="4879" max="4879" width="6.375" style="26" customWidth="1"/>
    <col min="4880" max="4880" width="7.25" style="26" customWidth="1"/>
    <col min="4881" max="4881" width="9" style="26" customWidth="1"/>
    <col min="4882" max="4894" width="6.375" style="26" customWidth="1"/>
    <col min="4895" max="4895" width="7.125" style="26" customWidth="1"/>
    <col min="4896" max="4896" width="6.875" style="26" customWidth="1"/>
    <col min="4897" max="4897" width="6.375" style="26" customWidth="1"/>
    <col min="4898" max="4898" width="7.75" style="26" customWidth="1"/>
    <col min="4899" max="4899" width="7.25" style="26" customWidth="1"/>
    <col min="4900" max="4901" width="6.375" style="26" customWidth="1"/>
    <col min="4902" max="5120" width="9" style="26"/>
    <col min="5121" max="5121" width="6.875" style="26" customWidth="1"/>
    <col min="5122" max="5122" width="10.625" style="26" customWidth="1"/>
    <col min="5123" max="5123" width="28" style="26" customWidth="1"/>
    <col min="5124" max="5124" width="8.375" style="26" customWidth="1"/>
    <col min="5125" max="5125" width="12.375" style="26" customWidth="1"/>
    <col min="5126" max="5126" width="10.75" style="26" customWidth="1"/>
    <col min="5127" max="5127" width="6.375" style="26" customWidth="1"/>
    <col min="5128" max="5128" width="6.875" style="26" customWidth="1"/>
    <col min="5129" max="5130" width="6.375" style="26" customWidth="1"/>
    <col min="5131" max="5131" width="8" style="26" customWidth="1"/>
    <col min="5132" max="5133" width="6.375" style="26" customWidth="1"/>
    <col min="5134" max="5134" width="8.25" style="26" customWidth="1"/>
    <col min="5135" max="5135" width="6.375" style="26" customWidth="1"/>
    <col min="5136" max="5136" width="7.25" style="26" customWidth="1"/>
    <col min="5137" max="5137" width="9" style="26" customWidth="1"/>
    <col min="5138" max="5150" width="6.375" style="26" customWidth="1"/>
    <col min="5151" max="5151" width="7.125" style="26" customWidth="1"/>
    <col min="5152" max="5152" width="6.875" style="26" customWidth="1"/>
    <col min="5153" max="5153" width="6.375" style="26" customWidth="1"/>
    <col min="5154" max="5154" width="7.75" style="26" customWidth="1"/>
    <col min="5155" max="5155" width="7.25" style="26" customWidth="1"/>
    <col min="5156" max="5157" width="6.375" style="26" customWidth="1"/>
    <col min="5158" max="5376" width="9" style="26"/>
    <col min="5377" max="5377" width="6.875" style="26" customWidth="1"/>
    <col min="5378" max="5378" width="10.625" style="26" customWidth="1"/>
    <col min="5379" max="5379" width="28" style="26" customWidth="1"/>
    <col min="5380" max="5380" width="8.375" style="26" customWidth="1"/>
    <col min="5381" max="5381" width="12.375" style="26" customWidth="1"/>
    <col min="5382" max="5382" width="10.75" style="26" customWidth="1"/>
    <col min="5383" max="5383" width="6.375" style="26" customWidth="1"/>
    <col min="5384" max="5384" width="6.875" style="26" customWidth="1"/>
    <col min="5385" max="5386" width="6.375" style="26" customWidth="1"/>
    <col min="5387" max="5387" width="8" style="26" customWidth="1"/>
    <col min="5388" max="5389" width="6.375" style="26" customWidth="1"/>
    <col min="5390" max="5390" width="8.25" style="26" customWidth="1"/>
    <col min="5391" max="5391" width="6.375" style="26" customWidth="1"/>
    <col min="5392" max="5392" width="7.25" style="26" customWidth="1"/>
    <col min="5393" max="5393" width="9" style="26" customWidth="1"/>
    <col min="5394" max="5406" width="6.375" style="26" customWidth="1"/>
    <col min="5407" max="5407" width="7.125" style="26" customWidth="1"/>
    <col min="5408" max="5408" width="6.875" style="26" customWidth="1"/>
    <col min="5409" max="5409" width="6.375" style="26" customWidth="1"/>
    <col min="5410" max="5410" width="7.75" style="26" customWidth="1"/>
    <col min="5411" max="5411" width="7.25" style="26" customWidth="1"/>
    <col min="5412" max="5413" width="6.375" style="26" customWidth="1"/>
    <col min="5414" max="5632" width="9" style="26"/>
    <col min="5633" max="5633" width="6.875" style="26" customWidth="1"/>
    <col min="5634" max="5634" width="10.625" style="26" customWidth="1"/>
    <col min="5635" max="5635" width="28" style="26" customWidth="1"/>
    <col min="5636" max="5636" width="8.375" style="26" customWidth="1"/>
    <col min="5637" max="5637" width="12.375" style="26" customWidth="1"/>
    <col min="5638" max="5638" width="10.75" style="26" customWidth="1"/>
    <col min="5639" max="5639" width="6.375" style="26" customWidth="1"/>
    <col min="5640" max="5640" width="6.875" style="26" customWidth="1"/>
    <col min="5641" max="5642" width="6.375" style="26" customWidth="1"/>
    <col min="5643" max="5643" width="8" style="26" customWidth="1"/>
    <col min="5644" max="5645" width="6.375" style="26" customWidth="1"/>
    <col min="5646" max="5646" width="8.25" style="26" customWidth="1"/>
    <col min="5647" max="5647" width="6.375" style="26" customWidth="1"/>
    <col min="5648" max="5648" width="7.25" style="26" customWidth="1"/>
    <col min="5649" max="5649" width="9" style="26" customWidth="1"/>
    <col min="5650" max="5662" width="6.375" style="26" customWidth="1"/>
    <col min="5663" max="5663" width="7.125" style="26" customWidth="1"/>
    <col min="5664" max="5664" width="6.875" style="26" customWidth="1"/>
    <col min="5665" max="5665" width="6.375" style="26" customWidth="1"/>
    <col min="5666" max="5666" width="7.75" style="26" customWidth="1"/>
    <col min="5667" max="5667" width="7.25" style="26" customWidth="1"/>
    <col min="5668" max="5669" width="6.375" style="26" customWidth="1"/>
    <col min="5670" max="5888" width="9" style="26"/>
    <col min="5889" max="5889" width="6.875" style="26" customWidth="1"/>
    <col min="5890" max="5890" width="10.625" style="26" customWidth="1"/>
    <col min="5891" max="5891" width="28" style="26" customWidth="1"/>
    <col min="5892" max="5892" width="8.375" style="26" customWidth="1"/>
    <col min="5893" max="5893" width="12.375" style="26" customWidth="1"/>
    <col min="5894" max="5894" width="10.75" style="26" customWidth="1"/>
    <col min="5895" max="5895" width="6.375" style="26" customWidth="1"/>
    <col min="5896" max="5896" width="6.875" style="26" customWidth="1"/>
    <col min="5897" max="5898" width="6.375" style="26" customWidth="1"/>
    <col min="5899" max="5899" width="8" style="26" customWidth="1"/>
    <col min="5900" max="5901" width="6.375" style="26" customWidth="1"/>
    <col min="5902" max="5902" width="8.25" style="26" customWidth="1"/>
    <col min="5903" max="5903" width="6.375" style="26" customWidth="1"/>
    <col min="5904" max="5904" width="7.25" style="26" customWidth="1"/>
    <col min="5905" max="5905" width="9" style="26" customWidth="1"/>
    <col min="5906" max="5918" width="6.375" style="26" customWidth="1"/>
    <col min="5919" max="5919" width="7.125" style="26" customWidth="1"/>
    <col min="5920" max="5920" width="6.875" style="26" customWidth="1"/>
    <col min="5921" max="5921" width="6.375" style="26" customWidth="1"/>
    <col min="5922" max="5922" width="7.75" style="26" customWidth="1"/>
    <col min="5923" max="5923" width="7.25" style="26" customWidth="1"/>
    <col min="5924" max="5925" width="6.375" style="26" customWidth="1"/>
    <col min="5926" max="6144" width="9" style="26"/>
    <col min="6145" max="6145" width="6.875" style="26" customWidth="1"/>
    <col min="6146" max="6146" width="10.625" style="26" customWidth="1"/>
    <col min="6147" max="6147" width="28" style="26" customWidth="1"/>
    <col min="6148" max="6148" width="8.375" style="26" customWidth="1"/>
    <col min="6149" max="6149" width="12.375" style="26" customWidth="1"/>
    <col min="6150" max="6150" width="10.75" style="26" customWidth="1"/>
    <col min="6151" max="6151" width="6.375" style="26" customWidth="1"/>
    <col min="6152" max="6152" width="6.875" style="26" customWidth="1"/>
    <col min="6153" max="6154" width="6.375" style="26" customWidth="1"/>
    <col min="6155" max="6155" width="8" style="26" customWidth="1"/>
    <col min="6156" max="6157" width="6.375" style="26" customWidth="1"/>
    <col min="6158" max="6158" width="8.25" style="26" customWidth="1"/>
    <col min="6159" max="6159" width="6.375" style="26" customWidth="1"/>
    <col min="6160" max="6160" width="7.25" style="26" customWidth="1"/>
    <col min="6161" max="6161" width="9" style="26" customWidth="1"/>
    <col min="6162" max="6174" width="6.375" style="26" customWidth="1"/>
    <col min="6175" max="6175" width="7.125" style="26" customWidth="1"/>
    <col min="6176" max="6176" width="6.875" style="26" customWidth="1"/>
    <col min="6177" max="6177" width="6.375" style="26" customWidth="1"/>
    <col min="6178" max="6178" width="7.75" style="26" customWidth="1"/>
    <col min="6179" max="6179" width="7.25" style="26" customWidth="1"/>
    <col min="6180" max="6181" width="6.375" style="26" customWidth="1"/>
    <col min="6182" max="6400" width="9" style="26"/>
    <col min="6401" max="6401" width="6.875" style="26" customWidth="1"/>
    <col min="6402" max="6402" width="10.625" style="26" customWidth="1"/>
    <col min="6403" max="6403" width="28" style="26" customWidth="1"/>
    <col min="6404" max="6404" width="8.375" style="26" customWidth="1"/>
    <col min="6405" max="6405" width="12.375" style="26" customWidth="1"/>
    <col min="6406" max="6406" width="10.75" style="26" customWidth="1"/>
    <col min="6407" max="6407" width="6.375" style="26" customWidth="1"/>
    <col min="6408" max="6408" width="6.875" style="26" customWidth="1"/>
    <col min="6409" max="6410" width="6.375" style="26" customWidth="1"/>
    <col min="6411" max="6411" width="8" style="26" customWidth="1"/>
    <col min="6412" max="6413" width="6.375" style="26" customWidth="1"/>
    <col min="6414" max="6414" width="8.25" style="26" customWidth="1"/>
    <col min="6415" max="6415" width="6.375" style="26" customWidth="1"/>
    <col min="6416" max="6416" width="7.25" style="26" customWidth="1"/>
    <col min="6417" max="6417" width="9" style="26" customWidth="1"/>
    <col min="6418" max="6430" width="6.375" style="26" customWidth="1"/>
    <col min="6431" max="6431" width="7.125" style="26" customWidth="1"/>
    <col min="6432" max="6432" width="6.875" style="26" customWidth="1"/>
    <col min="6433" max="6433" width="6.375" style="26" customWidth="1"/>
    <col min="6434" max="6434" width="7.75" style="26" customWidth="1"/>
    <col min="6435" max="6435" width="7.25" style="26" customWidth="1"/>
    <col min="6436" max="6437" width="6.375" style="26" customWidth="1"/>
    <col min="6438" max="6656" width="9" style="26"/>
    <col min="6657" max="6657" width="6.875" style="26" customWidth="1"/>
    <col min="6658" max="6658" width="10.625" style="26" customWidth="1"/>
    <col min="6659" max="6659" width="28" style="26" customWidth="1"/>
    <col min="6660" max="6660" width="8.375" style="26" customWidth="1"/>
    <col min="6661" max="6661" width="12.375" style="26" customWidth="1"/>
    <col min="6662" max="6662" width="10.75" style="26" customWidth="1"/>
    <col min="6663" max="6663" width="6.375" style="26" customWidth="1"/>
    <col min="6664" max="6664" width="6.875" style="26" customWidth="1"/>
    <col min="6665" max="6666" width="6.375" style="26" customWidth="1"/>
    <col min="6667" max="6667" width="8" style="26" customWidth="1"/>
    <col min="6668" max="6669" width="6.375" style="26" customWidth="1"/>
    <col min="6670" max="6670" width="8.25" style="26" customWidth="1"/>
    <col min="6671" max="6671" width="6.375" style="26" customWidth="1"/>
    <col min="6672" max="6672" width="7.25" style="26" customWidth="1"/>
    <col min="6673" max="6673" width="9" style="26" customWidth="1"/>
    <col min="6674" max="6686" width="6.375" style="26" customWidth="1"/>
    <col min="6687" max="6687" width="7.125" style="26" customWidth="1"/>
    <col min="6688" max="6688" width="6.875" style="26" customWidth="1"/>
    <col min="6689" max="6689" width="6.375" style="26" customWidth="1"/>
    <col min="6690" max="6690" width="7.75" style="26" customWidth="1"/>
    <col min="6691" max="6691" width="7.25" style="26" customWidth="1"/>
    <col min="6692" max="6693" width="6.375" style="26" customWidth="1"/>
    <col min="6694" max="6912" width="9" style="26"/>
    <col min="6913" max="6913" width="6.875" style="26" customWidth="1"/>
    <col min="6914" max="6914" width="10.625" style="26" customWidth="1"/>
    <col min="6915" max="6915" width="28" style="26" customWidth="1"/>
    <col min="6916" max="6916" width="8.375" style="26" customWidth="1"/>
    <col min="6917" max="6917" width="12.375" style="26" customWidth="1"/>
    <col min="6918" max="6918" width="10.75" style="26" customWidth="1"/>
    <col min="6919" max="6919" width="6.375" style="26" customWidth="1"/>
    <col min="6920" max="6920" width="6.875" style="26" customWidth="1"/>
    <col min="6921" max="6922" width="6.375" style="26" customWidth="1"/>
    <col min="6923" max="6923" width="8" style="26" customWidth="1"/>
    <col min="6924" max="6925" width="6.375" style="26" customWidth="1"/>
    <col min="6926" max="6926" width="8.25" style="26" customWidth="1"/>
    <col min="6927" max="6927" width="6.375" style="26" customWidth="1"/>
    <col min="6928" max="6928" width="7.25" style="26" customWidth="1"/>
    <col min="6929" max="6929" width="9" style="26" customWidth="1"/>
    <col min="6930" max="6942" width="6.375" style="26" customWidth="1"/>
    <col min="6943" max="6943" width="7.125" style="26" customWidth="1"/>
    <col min="6944" max="6944" width="6.875" style="26" customWidth="1"/>
    <col min="6945" max="6945" width="6.375" style="26" customWidth="1"/>
    <col min="6946" max="6946" width="7.75" style="26" customWidth="1"/>
    <col min="6947" max="6947" width="7.25" style="26" customWidth="1"/>
    <col min="6948" max="6949" width="6.375" style="26" customWidth="1"/>
    <col min="6950" max="7168" width="9" style="26"/>
    <col min="7169" max="7169" width="6.875" style="26" customWidth="1"/>
    <col min="7170" max="7170" width="10.625" style="26" customWidth="1"/>
    <col min="7171" max="7171" width="28" style="26" customWidth="1"/>
    <col min="7172" max="7172" width="8.375" style="26" customWidth="1"/>
    <col min="7173" max="7173" width="12.375" style="26" customWidth="1"/>
    <col min="7174" max="7174" width="10.75" style="26" customWidth="1"/>
    <col min="7175" max="7175" width="6.375" style="26" customWidth="1"/>
    <col min="7176" max="7176" width="6.875" style="26" customWidth="1"/>
    <col min="7177" max="7178" width="6.375" style="26" customWidth="1"/>
    <col min="7179" max="7179" width="8" style="26" customWidth="1"/>
    <col min="7180" max="7181" width="6.375" style="26" customWidth="1"/>
    <col min="7182" max="7182" width="8.25" style="26" customWidth="1"/>
    <col min="7183" max="7183" width="6.375" style="26" customWidth="1"/>
    <col min="7184" max="7184" width="7.25" style="26" customWidth="1"/>
    <col min="7185" max="7185" width="9" style="26" customWidth="1"/>
    <col min="7186" max="7198" width="6.375" style="26" customWidth="1"/>
    <col min="7199" max="7199" width="7.125" style="26" customWidth="1"/>
    <col min="7200" max="7200" width="6.875" style="26" customWidth="1"/>
    <col min="7201" max="7201" width="6.375" style="26" customWidth="1"/>
    <col min="7202" max="7202" width="7.75" style="26" customWidth="1"/>
    <col min="7203" max="7203" width="7.25" style="26" customWidth="1"/>
    <col min="7204" max="7205" width="6.375" style="26" customWidth="1"/>
    <col min="7206" max="7424" width="9" style="26"/>
    <col min="7425" max="7425" width="6.875" style="26" customWidth="1"/>
    <col min="7426" max="7426" width="10.625" style="26" customWidth="1"/>
    <col min="7427" max="7427" width="28" style="26" customWidth="1"/>
    <col min="7428" max="7428" width="8.375" style="26" customWidth="1"/>
    <col min="7429" max="7429" width="12.375" style="26" customWidth="1"/>
    <col min="7430" max="7430" width="10.75" style="26" customWidth="1"/>
    <col min="7431" max="7431" width="6.375" style="26" customWidth="1"/>
    <col min="7432" max="7432" width="6.875" style="26" customWidth="1"/>
    <col min="7433" max="7434" width="6.375" style="26" customWidth="1"/>
    <col min="7435" max="7435" width="8" style="26" customWidth="1"/>
    <col min="7436" max="7437" width="6.375" style="26" customWidth="1"/>
    <col min="7438" max="7438" width="8.25" style="26" customWidth="1"/>
    <col min="7439" max="7439" width="6.375" style="26" customWidth="1"/>
    <col min="7440" max="7440" width="7.25" style="26" customWidth="1"/>
    <col min="7441" max="7441" width="9" style="26" customWidth="1"/>
    <col min="7442" max="7454" width="6.375" style="26" customWidth="1"/>
    <col min="7455" max="7455" width="7.125" style="26" customWidth="1"/>
    <col min="7456" max="7456" width="6.875" style="26" customWidth="1"/>
    <col min="7457" max="7457" width="6.375" style="26" customWidth="1"/>
    <col min="7458" max="7458" width="7.75" style="26" customWidth="1"/>
    <col min="7459" max="7459" width="7.25" style="26" customWidth="1"/>
    <col min="7460" max="7461" width="6.375" style="26" customWidth="1"/>
    <col min="7462" max="7680" width="9" style="26"/>
    <col min="7681" max="7681" width="6.875" style="26" customWidth="1"/>
    <col min="7682" max="7682" width="10.625" style="26" customWidth="1"/>
    <col min="7683" max="7683" width="28" style="26" customWidth="1"/>
    <col min="7684" max="7684" width="8.375" style="26" customWidth="1"/>
    <col min="7685" max="7685" width="12.375" style="26" customWidth="1"/>
    <col min="7686" max="7686" width="10.75" style="26" customWidth="1"/>
    <col min="7687" max="7687" width="6.375" style="26" customWidth="1"/>
    <col min="7688" max="7688" width="6.875" style="26" customWidth="1"/>
    <col min="7689" max="7690" width="6.375" style="26" customWidth="1"/>
    <col min="7691" max="7691" width="8" style="26" customWidth="1"/>
    <col min="7692" max="7693" width="6.375" style="26" customWidth="1"/>
    <col min="7694" max="7694" width="8.25" style="26" customWidth="1"/>
    <col min="7695" max="7695" width="6.375" style="26" customWidth="1"/>
    <col min="7696" max="7696" width="7.25" style="26" customWidth="1"/>
    <col min="7697" max="7697" width="9" style="26" customWidth="1"/>
    <col min="7698" max="7710" width="6.375" style="26" customWidth="1"/>
    <col min="7711" max="7711" width="7.125" style="26" customWidth="1"/>
    <col min="7712" max="7712" width="6.875" style="26" customWidth="1"/>
    <col min="7713" max="7713" width="6.375" style="26" customWidth="1"/>
    <col min="7714" max="7714" width="7.75" style="26" customWidth="1"/>
    <col min="7715" max="7715" width="7.25" style="26" customWidth="1"/>
    <col min="7716" max="7717" width="6.375" style="26" customWidth="1"/>
    <col min="7718" max="7936" width="9" style="26"/>
    <col min="7937" max="7937" width="6.875" style="26" customWidth="1"/>
    <col min="7938" max="7938" width="10.625" style="26" customWidth="1"/>
    <col min="7939" max="7939" width="28" style="26" customWidth="1"/>
    <col min="7940" max="7940" width="8.375" style="26" customWidth="1"/>
    <col min="7941" max="7941" width="12.375" style="26" customWidth="1"/>
    <col min="7942" max="7942" width="10.75" style="26" customWidth="1"/>
    <col min="7943" max="7943" width="6.375" style="26" customWidth="1"/>
    <col min="7944" max="7944" width="6.875" style="26" customWidth="1"/>
    <col min="7945" max="7946" width="6.375" style="26" customWidth="1"/>
    <col min="7947" max="7947" width="8" style="26" customWidth="1"/>
    <col min="7948" max="7949" width="6.375" style="26" customWidth="1"/>
    <col min="7950" max="7950" width="8.25" style="26" customWidth="1"/>
    <col min="7951" max="7951" width="6.375" style="26" customWidth="1"/>
    <col min="7952" max="7952" width="7.25" style="26" customWidth="1"/>
    <col min="7953" max="7953" width="9" style="26" customWidth="1"/>
    <col min="7954" max="7966" width="6.375" style="26" customWidth="1"/>
    <col min="7967" max="7967" width="7.125" style="26" customWidth="1"/>
    <col min="7968" max="7968" width="6.875" style="26" customWidth="1"/>
    <col min="7969" max="7969" width="6.375" style="26" customWidth="1"/>
    <col min="7970" max="7970" width="7.75" style="26" customWidth="1"/>
    <col min="7971" max="7971" width="7.25" style="26" customWidth="1"/>
    <col min="7972" max="7973" width="6.375" style="26" customWidth="1"/>
    <col min="7974" max="8192" width="9" style="26"/>
    <col min="8193" max="8193" width="6.875" style="26" customWidth="1"/>
    <col min="8194" max="8194" width="10.625" style="26" customWidth="1"/>
    <col min="8195" max="8195" width="28" style="26" customWidth="1"/>
    <col min="8196" max="8196" width="8.375" style="26" customWidth="1"/>
    <col min="8197" max="8197" width="12.375" style="26" customWidth="1"/>
    <col min="8198" max="8198" width="10.75" style="26" customWidth="1"/>
    <col min="8199" max="8199" width="6.375" style="26" customWidth="1"/>
    <col min="8200" max="8200" width="6.875" style="26" customWidth="1"/>
    <col min="8201" max="8202" width="6.375" style="26" customWidth="1"/>
    <col min="8203" max="8203" width="8" style="26" customWidth="1"/>
    <col min="8204" max="8205" width="6.375" style="26" customWidth="1"/>
    <col min="8206" max="8206" width="8.25" style="26" customWidth="1"/>
    <col min="8207" max="8207" width="6.375" style="26" customWidth="1"/>
    <col min="8208" max="8208" width="7.25" style="26" customWidth="1"/>
    <col min="8209" max="8209" width="9" style="26" customWidth="1"/>
    <col min="8210" max="8222" width="6.375" style="26" customWidth="1"/>
    <col min="8223" max="8223" width="7.125" style="26" customWidth="1"/>
    <col min="8224" max="8224" width="6.875" style="26" customWidth="1"/>
    <col min="8225" max="8225" width="6.375" style="26" customWidth="1"/>
    <col min="8226" max="8226" width="7.75" style="26" customWidth="1"/>
    <col min="8227" max="8227" width="7.25" style="26" customWidth="1"/>
    <col min="8228" max="8229" width="6.375" style="26" customWidth="1"/>
    <col min="8230" max="8448" width="9" style="26"/>
    <col min="8449" max="8449" width="6.875" style="26" customWidth="1"/>
    <col min="8450" max="8450" width="10.625" style="26" customWidth="1"/>
    <col min="8451" max="8451" width="28" style="26" customWidth="1"/>
    <col min="8452" max="8452" width="8.375" style="26" customWidth="1"/>
    <col min="8453" max="8453" width="12.375" style="26" customWidth="1"/>
    <col min="8454" max="8454" width="10.75" style="26" customWidth="1"/>
    <col min="8455" max="8455" width="6.375" style="26" customWidth="1"/>
    <col min="8456" max="8456" width="6.875" style="26" customWidth="1"/>
    <col min="8457" max="8458" width="6.375" style="26" customWidth="1"/>
    <col min="8459" max="8459" width="8" style="26" customWidth="1"/>
    <col min="8460" max="8461" width="6.375" style="26" customWidth="1"/>
    <col min="8462" max="8462" width="8.25" style="26" customWidth="1"/>
    <col min="8463" max="8463" width="6.375" style="26" customWidth="1"/>
    <col min="8464" max="8464" width="7.25" style="26" customWidth="1"/>
    <col min="8465" max="8465" width="9" style="26" customWidth="1"/>
    <col min="8466" max="8478" width="6.375" style="26" customWidth="1"/>
    <col min="8479" max="8479" width="7.125" style="26" customWidth="1"/>
    <col min="8480" max="8480" width="6.875" style="26" customWidth="1"/>
    <col min="8481" max="8481" width="6.375" style="26" customWidth="1"/>
    <col min="8482" max="8482" width="7.75" style="26" customWidth="1"/>
    <col min="8483" max="8483" width="7.25" style="26" customWidth="1"/>
    <col min="8484" max="8485" width="6.375" style="26" customWidth="1"/>
    <col min="8486" max="8704" width="9" style="26"/>
    <col min="8705" max="8705" width="6.875" style="26" customWidth="1"/>
    <col min="8706" max="8706" width="10.625" style="26" customWidth="1"/>
    <col min="8707" max="8707" width="28" style="26" customWidth="1"/>
    <col min="8708" max="8708" width="8.375" style="26" customWidth="1"/>
    <col min="8709" max="8709" width="12.375" style="26" customWidth="1"/>
    <col min="8710" max="8710" width="10.75" style="26" customWidth="1"/>
    <col min="8711" max="8711" width="6.375" style="26" customWidth="1"/>
    <col min="8712" max="8712" width="6.875" style="26" customWidth="1"/>
    <col min="8713" max="8714" width="6.375" style="26" customWidth="1"/>
    <col min="8715" max="8715" width="8" style="26" customWidth="1"/>
    <col min="8716" max="8717" width="6.375" style="26" customWidth="1"/>
    <col min="8718" max="8718" width="8.25" style="26" customWidth="1"/>
    <col min="8719" max="8719" width="6.375" style="26" customWidth="1"/>
    <col min="8720" max="8720" width="7.25" style="26" customWidth="1"/>
    <col min="8721" max="8721" width="9" style="26" customWidth="1"/>
    <col min="8722" max="8734" width="6.375" style="26" customWidth="1"/>
    <col min="8735" max="8735" width="7.125" style="26" customWidth="1"/>
    <col min="8736" max="8736" width="6.875" style="26" customWidth="1"/>
    <col min="8737" max="8737" width="6.375" style="26" customWidth="1"/>
    <col min="8738" max="8738" width="7.75" style="26" customWidth="1"/>
    <col min="8739" max="8739" width="7.25" style="26" customWidth="1"/>
    <col min="8740" max="8741" width="6.375" style="26" customWidth="1"/>
    <col min="8742" max="8960" width="9" style="26"/>
    <col min="8961" max="8961" width="6.875" style="26" customWidth="1"/>
    <col min="8962" max="8962" width="10.625" style="26" customWidth="1"/>
    <col min="8963" max="8963" width="28" style="26" customWidth="1"/>
    <col min="8964" max="8964" width="8.375" style="26" customWidth="1"/>
    <col min="8965" max="8965" width="12.375" style="26" customWidth="1"/>
    <col min="8966" max="8966" width="10.75" style="26" customWidth="1"/>
    <col min="8967" max="8967" width="6.375" style="26" customWidth="1"/>
    <col min="8968" max="8968" width="6.875" style="26" customWidth="1"/>
    <col min="8969" max="8970" width="6.375" style="26" customWidth="1"/>
    <col min="8971" max="8971" width="8" style="26" customWidth="1"/>
    <col min="8972" max="8973" width="6.375" style="26" customWidth="1"/>
    <col min="8974" max="8974" width="8.25" style="26" customWidth="1"/>
    <col min="8975" max="8975" width="6.375" style="26" customWidth="1"/>
    <col min="8976" max="8976" width="7.25" style="26" customWidth="1"/>
    <col min="8977" max="8977" width="9" style="26" customWidth="1"/>
    <col min="8978" max="8990" width="6.375" style="26" customWidth="1"/>
    <col min="8991" max="8991" width="7.125" style="26" customWidth="1"/>
    <col min="8992" max="8992" width="6.875" style="26" customWidth="1"/>
    <col min="8993" max="8993" width="6.375" style="26" customWidth="1"/>
    <col min="8994" max="8994" width="7.75" style="26" customWidth="1"/>
    <col min="8995" max="8995" width="7.25" style="26" customWidth="1"/>
    <col min="8996" max="8997" width="6.375" style="26" customWidth="1"/>
    <col min="8998" max="9216" width="9" style="26"/>
    <col min="9217" max="9217" width="6.875" style="26" customWidth="1"/>
    <col min="9218" max="9218" width="10.625" style="26" customWidth="1"/>
    <col min="9219" max="9219" width="28" style="26" customWidth="1"/>
    <col min="9220" max="9220" width="8.375" style="26" customWidth="1"/>
    <col min="9221" max="9221" width="12.375" style="26" customWidth="1"/>
    <col min="9222" max="9222" width="10.75" style="26" customWidth="1"/>
    <col min="9223" max="9223" width="6.375" style="26" customWidth="1"/>
    <col min="9224" max="9224" width="6.875" style="26" customWidth="1"/>
    <col min="9225" max="9226" width="6.375" style="26" customWidth="1"/>
    <col min="9227" max="9227" width="8" style="26" customWidth="1"/>
    <col min="9228" max="9229" width="6.375" style="26" customWidth="1"/>
    <col min="9230" max="9230" width="8.25" style="26" customWidth="1"/>
    <col min="9231" max="9231" width="6.375" style="26" customWidth="1"/>
    <col min="9232" max="9232" width="7.25" style="26" customWidth="1"/>
    <col min="9233" max="9233" width="9" style="26" customWidth="1"/>
    <col min="9234" max="9246" width="6.375" style="26" customWidth="1"/>
    <col min="9247" max="9247" width="7.125" style="26" customWidth="1"/>
    <col min="9248" max="9248" width="6.875" style="26" customWidth="1"/>
    <col min="9249" max="9249" width="6.375" style="26" customWidth="1"/>
    <col min="9250" max="9250" width="7.75" style="26" customWidth="1"/>
    <col min="9251" max="9251" width="7.25" style="26" customWidth="1"/>
    <col min="9252" max="9253" width="6.375" style="26" customWidth="1"/>
    <col min="9254" max="9472" width="9" style="26"/>
    <col min="9473" max="9473" width="6.875" style="26" customWidth="1"/>
    <col min="9474" max="9474" width="10.625" style="26" customWidth="1"/>
    <col min="9475" max="9475" width="28" style="26" customWidth="1"/>
    <col min="9476" max="9476" width="8.375" style="26" customWidth="1"/>
    <col min="9477" max="9477" width="12.375" style="26" customWidth="1"/>
    <col min="9478" max="9478" width="10.75" style="26" customWidth="1"/>
    <col min="9479" max="9479" width="6.375" style="26" customWidth="1"/>
    <col min="9480" max="9480" width="6.875" style="26" customWidth="1"/>
    <col min="9481" max="9482" width="6.375" style="26" customWidth="1"/>
    <col min="9483" max="9483" width="8" style="26" customWidth="1"/>
    <col min="9484" max="9485" width="6.375" style="26" customWidth="1"/>
    <col min="9486" max="9486" width="8.25" style="26" customWidth="1"/>
    <col min="9487" max="9487" width="6.375" style="26" customWidth="1"/>
    <col min="9488" max="9488" width="7.25" style="26" customWidth="1"/>
    <col min="9489" max="9489" width="9" style="26" customWidth="1"/>
    <col min="9490" max="9502" width="6.375" style="26" customWidth="1"/>
    <col min="9503" max="9503" width="7.125" style="26" customWidth="1"/>
    <col min="9504" max="9504" width="6.875" style="26" customWidth="1"/>
    <col min="9505" max="9505" width="6.375" style="26" customWidth="1"/>
    <col min="9506" max="9506" width="7.75" style="26" customWidth="1"/>
    <col min="9507" max="9507" width="7.25" style="26" customWidth="1"/>
    <col min="9508" max="9509" width="6.375" style="26" customWidth="1"/>
    <col min="9510" max="9728" width="9" style="26"/>
    <col min="9729" max="9729" width="6.875" style="26" customWidth="1"/>
    <col min="9730" max="9730" width="10.625" style="26" customWidth="1"/>
    <col min="9731" max="9731" width="28" style="26" customWidth="1"/>
    <col min="9732" max="9732" width="8.375" style="26" customWidth="1"/>
    <col min="9733" max="9733" width="12.375" style="26" customWidth="1"/>
    <col min="9734" max="9734" width="10.75" style="26" customWidth="1"/>
    <col min="9735" max="9735" width="6.375" style="26" customWidth="1"/>
    <col min="9736" max="9736" width="6.875" style="26" customWidth="1"/>
    <col min="9737" max="9738" width="6.375" style="26" customWidth="1"/>
    <col min="9739" max="9739" width="8" style="26" customWidth="1"/>
    <col min="9740" max="9741" width="6.375" style="26" customWidth="1"/>
    <col min="9742" max="9742" width="8.25" style="26" customWidth="1"/>
    <col min="9743" max="9743" width="6.375" style="26" customWidth="1"/>
    <col min="9744" max="9744" width="7.25" style="26" customWidth="1"/>
    <col min="9745" max="9745" width="9" style="26" customWidth="1"/>
    <col min="9746" max="9758" width="6.375" style="26" customWidth="1"/>
    <col min="9759" max="9759" width="7.125" style="26" customWidth="1"/>
    <col min="9760" max="9760" width="6.875" style="26" customWidth="1"/>
    <col min="9761" max="9761" width="6.375" style="26" customWidth="1"/>
    <col min="9762" max="9762" width="7.75" style="26" customWidth="1"/>
    <col min="9763" max="9763" width="7.25" style="26" customWidth="1"/>
    <col min="9764" max="9765" width="6.375" style="26" customWidth="1"/>
    <col min="9766" max="9984" width="9" style="26"/>
    <col min="9985" max="9985" width="6.875" style="26" customWidth="1"/>
    <col min="9986" max="9986" width="10.625" style="26" customWidth="1"/>
    <col min="9987" max="9987" width="28" style="26" customWidth="1"/>
    <col min="9988" max="9988" width="8.375" style="26" customWidth="1"/>
    <col min="9989" max="9989" width="12.375" style="26" customWidth="1"/>
    <col min="9990" max="9990" width="10.75" style="26" customWidth="1"/>
    <col min="9991" max="9991" width="6.375" style="26" customWidth="1"/>
    <col min="9992" max="9992" width="6.875" style="26" customWidth="1"/>
    <col min="9993" max="9994" width="6.375" style="26" customWidth="1"/>
    <col min="9995" max="9995" width="8" style="26" customWidth="1"/>
    <col min="9996" max="9997" width="6.375" style="26" customWidth="1"/>
    <col min="9998" max="9998" width="8.25" style="26" customWidth="1"/>
    <col min="9999" max="9999" width="6.375" style="26" customWidth="1"/>
    <col min="10000" max="10000" width="7.25" style="26" customWidth="1"/>
    <col min="10001" max="10001" width="9" style="26" customWidth="1"/>
    <col min="10002" max="10014" width="6.375" style="26" customWidth="1"/>
    <col min="10015" max="10015" width="7.125" style="26" customWidth="1"/>
    <col min="10016" max="10016" width="6.875" style="26" customWidth="1"/>
    <col min="10017" max="10017" width="6.375" style="26" customWidth="1"/>
    <col min="10018" max="10018" width="7.75" style="26" customWidth="1"/>
    <col min="10019" max="10019" width="7.25" style="26" customWidth="1"/>
    <col min="10020" max="10021" width="6.375" style="26" customWidth="1"/>
    <col min="10022" max="10240" width="9" style="26"/>
    <col min="10241" max="10241" width="6.875" style="26" customWidth="1"/>
    <col min="10242" max="10242" width="10.625" style="26" customWidth="1"/>
    <col min="10243" max="10243" width="28" style="26" customWidth="1"/>
    <col min="10244" max="10244" width="8.375" style="26" customWidth="1"/>
    <col min="10245" max="10245" width="12.375" style="26" customWidth="1"/>
    <col min="10246" max="10246" width="10.75" style="26" customWidth="1"/>
    <col min="10247" max="10247" width="6.375" style="26" customWidth="1"/>
    <col min="10248" max="10248" width="6.875" style="26" customWidth="1"/>
    <col min="10249" max="10250" width="6.375" style="26" customWidth="1"/>
    <col min="10251" max="10251" width="8" style="26" customWidth="1"/>
    <col min="10252" max="10253" width="6.375" style="26" customWidth="1"/>
    <col min="10254" max="10254" width="8.25" style="26" customWidth="1"/>
    <col min="10255" max="10255" width="6.375" style="26" customWidth="1"/>
    <col min="10256" max="10256" width="7.25" style="26" customWidth="1"/>
    <col min="10257" max="10257" width="9" style="26" customWidth="1"/>
    <col min="10258" max="10270" width="6.375" style="26" customWidth="1"/>
    <col min="10271" max="10271" width="7.125" style="26" customWidth="1"/>
    <col min="10272" max="10272" width="6.875" style="26" customWidth="1"/>
    <col min="10273" max="10273" width="6.375" style="26" customWidth="1"/>
    <col min="10274" max="10274" width="7.75" style="26" customWidth="1"/>
    <col min="10275" max="10275" width="7.25" style="26" customWidth="1"/>
    <col min="10276" max="10277" width="6.375" style="26" customWidth="1"/>
    <col min="10278" max="10496" width="9" style="26"/>
    <col min="10497" max="10497" width="6.875" style="26" customWidth="1"/>
    <col min="10498" max="10498" width="10.625" style="26" customWidth="1"/>
    <col min="10499" max="10499" width="28" style="26" customWidth="1"/>
    <col min="10500" max="10500" width="8.375" style="26" customWidth="1"/>
    <col min="10501" max="10501" width="12.375" style="26" customWidth="1"/>
    <col min="10502" max="10502" width="10.75" style="26" customWidth="1"/>
    <col min="10503" max="10503" width="6.375" style="26" customWidth="1"/>
    <col min="10504" max="10504" width="6.875" style="26" customWidth="1"/>
    <col min="10505" max="10506" width="6.375" style="26" customWidth="1"/>
    <col min="10507" max="10507" width="8" style="26" customWidth="1"/>
    <col min="10508" max="10509" width="6.375" style="26" customWidth="1"/>
    <col min="10510" max="10510" width="8.25" style="26" customWidth="1"/>
    <col min="10511" max="10511" width="6.375" style="26" customWidth="1"/>
    <col min="10512" max="10512" width="7.25" style="26" customWidth="1"/>
    <col min="10513" max="10513" width="9" style="26" customWidth="1"/>
    <col min="10514" max="10526" width="6.375" style="26" customWidth="1"/>
    <col min="10527" max="10527" width="7.125" style="26" customWidth="1"/>
    <col min="10528" max="10528" width="6.875" style="26" customWidth="1"/>
    <col min="10529" max="10529" width="6.375" style="26" customWidth="1"/>
    <col min="10530" max="10530" width="7.75" style="26" customWidth="1"/>
    <col min="10531" max="10531" width="7.25" style="26" customWidth="1"/>
    <col min="10532" max="10533" width="6.375" style="26" customWidth="1"/>
    <col min="10534" max="10752" width="9" style="26"/>
    <col min="10753" max="10753" width="6.875" style="26" customWidth="1"/>
    <col min="10754" max="10754" width="10.625" style="26" customWidth="1"/>
    <col min="10755" max="10755" width="28" style="26" customWidth="1"/>
    <col min="10756" max="10756" width="8.375" style="26" customWidth="1"/>
    <col min="10757" max="10757" width="12.375" style="26" customWidth="1"/>
    <col min="10758" max="10758" width="10.75" style="26" customWidth="1"/>
    <col min="10759" max="10759" width="6.375" style="26" customWidth="1"/>
    <col min="10760" max="10760" width="6.875" style="26" customWidth="1"/>
    <col min="10761" max="10762" width="6.375" style="26" customWidth="1"/>
    <col min="10763" max="10763" width="8" style="26" customWidth="1"/>
    <col min="10764" max="10765" width="6.375" style="26" customWidth="1"/>
    <col min="10766" max="10766" width="8.25" style="26" customWidth="1"/>
    <col min="10767" max="10767" width="6.375" style="26" customWidth="1"/>
    <col min="10768" max="10768" width="7.25" style="26" customWidth="1"/>
    <col min="10769" max="10769" width="9" style="26" customWidth="1"/>
    <col min="10770" max="10782" width="6.375" style="26" customWidth="1"/>
    <col min="10783" max="10783" width="7.125" style="26" customWidth="1"/>
    <col min="10784" max="10784" width="6.875" style="26" customWidth="1"/>
    <col min="10785" max="10785" width="6.375" style="26" customWidth="1"/>
    <col min="10786" max="10786" width="7.75" style="26" customWidth="1"/>
    <col min="10787" max="10787" width="7.25" style="26" customWidth="1"/>
    <col min="10788" max="10789" width="6.375" style="26" customWidth="1"/>
    <col min="10790" max="11008" width="9" style="26"/>
    <col min="11009" max="11009" width="6.875" style="26" customWidth="1"/>
    <col min="11010" max="11010" width="10.625" style="26" customWidth="1"/>
    <col min="11011" max="11011" width="28" style="26" customWidth="1"/>
    <col min="11012" max="11012" width="8.375" style="26" customWidth="1"/>
    <col min="11013" max="11013" width="12.375" style="26" customWidth="1"/>
    <col min="11014" max="11014" width="10.75" style="26" customWidth="1"/>
    <col min="11015" max="11015" width="6.375" style="26" customWidth="1"/>
    <col min="11016" max="11016" width="6.875" style="26" customWidth="1"/>
    <col min="11017" max="11018" width="6.375" style="26" customWidth="1"/>
    <col min="11019" max="11019" width="8" style="26" customWidth="1"/>
    <col min="11020" max="11021" width="6.375" style="26" customWidth="1"/>
    <col min="11022" max="11022" width="8.25" style="26" customWidth="1"/>
    <col min="11023" max="11023" width="6.375" style="26" customWidth="1"/>
    <col min="11024" max="11024" width="7.25" style="26" customWidth="1"/>
    <col min="11025" max="11025" width="9" style="26" customWidth="1"/>
    <col min="11026" max="11038" width="6.375" style="26" customWidth="1"/>
    <col min="11039" max="11039" width="7.125" style="26" customWidth="1"/>
    <col min="11040" max="11040" width="6.875" style="26" customWidth="1"/>
    <col min="11041" max="11041" width="6.375" style="26" customWidth="1"/>
    <col min="11042" max="11042" width="7.75" style="26" customWidth="1"/>
    <col min="11043" max="11043" width="7.25" style="26" customWidth="1"/>
    <col min="11044" max="11045" width="6.375" style="26" customWidth="1"/>
    <col min="11046" max="11264" width="9" style="26"/>
    <col min="11265" max="11265" width="6.875" style="26" customWidth="1"/>
    <col min="11266" max="11266" width="10.625" style="26" customWidth="1"/>
    <col min="11267" max="11267" width="28" style="26" customWidth="1"/>
    <col min="11268" max="11268" width="8.375" style="26" customWidth="1"/>
    <col min="11269" max="11269" width="12.375" style="26" customWidth="1"/>
    <col min="11270" max="11270" width="10.75" style="26" customWidth="1"/>
    <col min="11271" max="11271" width="6.375" style="26" customWidth="1"/>
    <col min="11272" max="11272" width="6.875" style="26" customWidth="1"/>
    <col min="11273" max="11274" width="6.375" style="26" customWidth="1"/>
    <col min="11275" max="11275" width="8" style="26" customWidth="1"/>
    <col min="11276" max="11277" width="6.375" style="26" customWidth="1"/>
    <col min="11278" max="11278" width="8.25" style="26" customWidth="1"/>
    <col min="11279" max="11279" width="6.375" style="26" customWidth="1"/>
    <col min="11280" max="11280" width="7.25" style="26" customWidth="1"/>
    <col min="11281" max="11281" width="9" style="26" customWidth="1"/>
    <col min="11282" max="11294" width="6.375" style="26" customWidth="1"/>
    <col min="11295" max="11295" width="7.125" style="26" customWidth="1"/>
    <col min="11296" max="11296" width="6.875" style="26" customWidth="1"/>
    <col min="11297" max="11297" width="6.375" style="26" customWidth="1"/>
    <col min="11298" max="11298" width="7.75" style="26" customWidth="1"/>
    <col min="11299" max="11299" width="7.25" style="26" customWidth="1"/>
    <col min="11300" max="11301" width="6.375" style="26" customWidth="1"/>
    <col min="11302" max="11520" width="9" style="26"/>
    <col min="11521" max="11521" width="6.875" style="26" customWidth="1"/>
    <col min="11522" max="11522" width="10.625" style="26" customWidth="1"/>
    <col min="11523" max="11523" width="28" style="26" customWidth="1"/>
    <col min="11524" max="11524" width="8.375" style="26" customWidth="1"/>
    <col min="11525" max="11525" width="12.375" style="26" customWidth="1"/>
    <col min="11526" max="11526" width="10.75" style="26" customWidth="1"/>
    <col min="11527" max="11527" width="6.375" style="26" customWidth="1"/>
    <col min="11528" max="11528" width="6.875" style="26" customWidth="1"/>
    <col min="11529" max="11530" width="6.375" style="26" customWidth="1"/>
    <col min="11531" max="11531" width="8" style="26" customWidth="1"/>
    <col min="11532" max="11533" width="6.375" style="26" customWidth="1"/>
    <col min="11534" max="11534" width="8.25" style="26" customWidth="1"/>
    <col min="11535" max="11535" width="6.375" style="26" customWidth="1"/>
    <col min="11536" max="11536" width="7.25" style="26" customWidth="1"/>
    <col min="11537" max="11537" width="9" style="26" customWidth="1"/>
    <col min="11538" max="11550" width="6.375" style="26" customWidth="1"/>
    <col min="11551" max="11551" width="7.125" style="26" customWidth="1"/>
    <col min="11552" max="11552" width="6.875" style="26" customWidth="1"/>
    <col min="11553" max="11553" width="6.375" style="26" customWidth="1"/>
    <col min="11554" max="11554" width="7.75" style="26" customWidth="1"/>
    <col min="11555" max="11555" width="7.25" style="26" customWidth="1"/>
    <col min="11556" max="11557" width="6.375" style="26" customWidth="1"/>
    <col min="11558" max="11776" width="9" style="26"/>
    <col min="11777" max="11777" width="6.875" style="26" customWidth="1"/>
    <col min="11778" max="11778" width="10.625" style="26" customWidth="1"/>
    <col min="11779" max="11779" width="28" style="26" customWidth="1"/>
    <col min="11780" max="11780" width="8.375" style="26" customWidth="1"/>
    <col min="11781" max="11781" width="12.375" style="26" customWidth="1"/>
    <col min="11782" max="11782" width="10.75" style="26" customWidth="1"/>
    <col min="11783" max="11783" width="6.375" style="26" customWidth="1"/>
    <col min="11784" max="11784" width="6.875" style="26" customWidth="1"/>
    <col min="11785" max="11786" width="6.375" style="26" customWidth="1"/>
    <col min="11787" max="11787" width="8" style="26" customWidth="1"/>
    <col min="11788" max="11789" width="6.375" style="26" customWidth="1"/>
    <col min="11790" max="11790" width="8.25" style="26" customWidth="1"/>
    <col min="11791" max="11791" width="6.375" style="26" customWidth="1"/>
    <col min="11792" max="11792" width="7.25" style="26" customWidth="1"/>
    <col min="11793" max="11793" width="9" style="26" customWidth="1"/>
    <col min="11794" max="11806" width="6.375" style="26" customWidth="1"/>
    <col min="11807" max="11807" width="7.125" style="26" customWidth="1"/>
    <col min="11808" max="11808" width="6.875" style="26" customWidth="1"/>
    <col min="11809" max="11809" width="6.375" style="26" customWidth="1"/>
    <col min="11810" max="11810" width="7.75" style="26" customWidth="1"/>
    <col min="11811" max="11811" width="7.25" style="26" customWidth="1"/>
    <col min="11812" max="11813" width="6.375" style="26" customWidth="1"/>
    <col min="11814" max="12032" width="9" style="26"/>
    <col min="12033" max="12033" width="6.875" style="26" customWidth="1"/>
    <col min="12034" max="12034" width="10.625" style="26" customWidth="1"/>
    <col min="12035" max="12035" width="28" style="26" customWidth="1"/>
    <col min="12036" max="12036" width="8.375" style="26" customWidth="1"/>
    <col min="12037" max="12037" width="12.375" style="26" customWidth="1"/>
    <col min="12038" max="12038" width="10.75" style="26" customWidth="1"/>
    <col min="12039" max="12039" width="6.375" style="26" customWidth="1"/>
    <col min="12040" max="12040" width="6.875" style="26" customWidth="1"/>
    <col min="12041" max="12042" width="6.375" style="26" customWidth="1"/>
    <col min="12043" max="12043" width="8" style="26" customWidth="1"/>
    <col min="12044" max="12045" width="6.375" style="26" customWidth="1"/>
    <col min="12046" max="12046" width="8.25" style="26" customWidth="1"/>
    <col min="12047" max="12047" width="6.375" style="26" customWidth="1"/>
    <col min="12048" max="12048" width="7.25" style="26" customWidth="1"/>
    <col min="12049" max="12049" width="9" style="26" customWidth="1"/>
    <col min="12050" max="12062" width="6.375" style="26" customWidth="1"/>
    <col min="12063" max="12063" width="7.125" style="26" customWidth="1"/>
    <col min="12064" max="12064" width="6.875" style="26" customWidth="1"/>
    <col min="12065" max="12065" width="6.375" style="26" customWidth="1"/>
    <col min="12066" max="12066" width="7.75" style="26" customWidth="1"/>
    <col min="12067" max="12067" width="7.25" style="26" customWidth="1"/>
    <col min="12068" max="12069" width="6.375" style="26" customWidth="1"/>
    <col min="12070" max="12288" width="9" style="26"/>
    <col min="12289" max="12289" width="6.875" style="26" customWidth="1"/>
    <col min="12290" max="12290" width="10.625" style="26" customWidth="1"/>
    <col min="12291" max="12291" width="28" style="26" customWidth="1"/>
    <col min="12292" max="12292" width="8.375" style="26" customWidth="1"/>
    <col min="12293" max="12293" width="12.375" style="26" customWidth="1"/>
    <col min="12294" max="12294" width="10.75" style="26" customWidth="1"/>
    <col min="12295" max="12295" width="6.375" style="26" customWidth="1"/>
    <col min="12296" max="12296" width="6.875" style="26" customWidth="1"/>
    <col min="12297" max="12298" width="6.375" style="26" customWidth="1"/>
    <col min="12299" max="12299" width="8" style="26" customWidth="1"/>
    <col min="12300" max="12301" width="6.375" style="26" customWidth="1"/>
    <col min="12302" max="12302" width="8.25" style="26" customWidth="1"/>
    <col min="12303" max="12303" width="6.375" style="26" customWidth="1"/>
    <col min="12304" max="12304" width="7.25" style="26" customWidth="1"/>
    <col min="12305" max="12305" width="9" style="26" customWidth="1"/>
    <col min="12306" max="12318" width="6.375" style="26" customWidth="1"/>
    <col min="12319" max="12319" width="7.125" style="26" customWidth="1"/>
    <col min="12320" max="12320" width="6.875" style="26" customWidth="1"/>
    <col min="12321" max="12321" width="6.375" style="26" customWidth="1"/>
    <col min="12322" max="12322" width="7.75" style="26" customWidth="1"/>
    <col min="12323" max="12323" width="7.25" style="26" customWidth="1"/>
    <col min="12324" max="12325" width="6.375" style="26" customWidth="1"/>
    <col min="12326" max="12544" width="9" style="26"/>
    <col min="12545" max="12545" width="6.875" style="26" customWidth="1"/>
    <col min="12546" max="12546" width="10.625" style="26" customWidth="1"/>
    <col min="12547" max="12547" width="28" style="26" customWidth="1"/>
    <col min="12548" max="12548" width="8.375" style="26" customWidth="1"/>
    <col min="12549" max="12549" width="12.375" style="26" customWidth="1"/>
    <col min="12550" max="12550" width="10.75" style="26" customWidth="1"/>
    <col min="12551" max="12551" width="6.375" style="26" customWidth="1"/>
    <col min="12552" max="12552" width="6.875" style="26" customWidth="1"/>
    <col min="12553" max="12554" width="6.375" style="26" customWidth="1"/>
    <col min="12555" max="12555" width="8" style="26" customWidth="1"/>
    <col min="12556" max="12557" width="6.375" style="26" customWidth="1"/>
    <col min="12558" max="12558" width="8.25" style="26" customWidth="1"/>
    <col min="12559" max="12559" width="6.375" style="26" customWidth="1"/>
    <col min="12560" max="12560" width="7.25" style="26" customWidth="1"/>
    <col min="12561" max="12561" width="9" style="26" customWidth="1"/>
    <col min="12562" max="12574" width="6.375" style="26" customWidth="1"/>
    <col min="12575" max="12575" width="7.125" style="26" customWidth="1"/>
    <col min="12576" max="12576" width="6.875" style="26" customWidth="1"/>
    <col min="12577" max="12577" width="6.375" style="26" customWidth="1"/>
    <col min="12578" max="12578" width="7.75" style="26" customWidth="1"/>
    <col min="12579" max="12579" width="7.25" style="26" customWidth="1"/>
    <col min="12580" max="12581" width="6.375" style="26" customWidth="1"/>
    <col min="12582" max="12800" width="9" style="26"/>
    <col min="12801" max="12801" width="6.875" style="26" customWidth="1"/>
    <col min="12802" max="12802" width="10.625" style="26" customWidth="1"/>
    <col min="12803" max="12803" width="28" style="26" customWidth="1"/>
    <col min="12804" max="12804" width="8.375" style="26" customWidth="1"/>
    <col min="12805" max="12805" width="12.375" style="26" customWidth="1"/>
    <col min="12806" max="12806" width="10.75" style="26" customWidth="1"/>
    <col min="12807" max="12807" width="6.375" style="26" customWidth="1"/>
    <col min="12808" max="12808" width="6.875" style="26" customWidth="1"/>
    <col min="12809" max="12810" width="6.375" style="26" customWidth="1"/>
    <col min="12811" max="12811" width="8" style="26" customWidth="1"/>
    <col min="12812" max="12813" width="6.375" style="26" customWidth="1"/>
    <col min="12814" max="12814" width="8.25" style="26" customWidth="1"/>
    <col min="12815" max="12815" width="6.375" style="26" customWidth="1"/>
    <col min="12816" max="12816" width="7.25" style="26" customWidth="1"/>
    <col min="12817" max="12817" width="9" style="26" customWidth="1"/>
    <col min="12818" max="12830" width="6.375" style="26" customWidth="1"/>
    <col min="12831" max="12831" width="7.125" style="26" customWidth="1"/>
    <col min="12832" max="12832" width="6.875" style="26" customWidth="1"/>
    <col min="12833" max="12833" width="6.375" style="26" customWidth="1"/>
    <col min="12834" max="12834" width="7.75" style="26" customWidth="1"/>
    <col min="12835" max="12835" width="7.25" style="26" customWidth="1"/>
    <col min="12836" max="12837" width="6.375" style="26" customWidth="1"/>
    <col min="12838" max="13056" width="9" style="26"/>
    <col min="13057" max="13057" width="6.875" style="26" customWidth="1"/>
    <col min="13058" max="13058" width="10.625" style="26" customWidth="1"/>
    <col min="13059" max="13059" width="28" style="26" customWidth="1"/>
    <col min="13060" max="13060" width="8.375" style="26" customWidth="1"/>
    <col min="13061" max="13061" width="12.375" style="26" customWidth="1"/>
    <col min="13062" max="13062" width="10.75" style="26" customWidth="1"/>
    <col min="13063" max="13063" width="6.375" style="26" customWidth="1"/>
    <col min="13064" max="13064" width="6.875" style="26" customWidth="1"/>
    <col min="13065" max="13066" width="6.375" style="26" customWidth="1"/>
    <col min="13067" max="13067" width="8" style="26" customWidth="1"/>
    <col min="13068" max="13069" width="6.375" style="26" customWidth="1"/>
    <col min="13070" max="13070" width="8.25" style="26" customWidth="1"/>
    <col min="13071" max="13071" width="6.375" style="26" customWidth="1"/>
    <col min="13072" max="13072" width="7.25" style="26" customWidth="1"/>
    <col min="13073" max="13073" width="9" style="26" customWidth="1"/>
    <col min="13074" max="13086" width="6.375" style="26" customWidth="1"/>
    <col min="13087" max="13087" width="7.125" style="26" customWidth="1"/>
    <col min="13088" max="13088" width="6.875" style="26" customWidth="1"/>
    <col min="13089" max="13089" width="6.375" style="26" customWidth="1"/>
    <col min="13090" max="13090" width="7.75" style="26" customWidth="1"/>
    <col min="13091" max="13091" width="7.25" style="26" customWidth="1"/>
    <col min="13092" max="13093" width="6.375" style="26" customWidth="1"/>
    <col min="13094" max="13312" width="9" style="26"/>
    <col min="13313" max="13313" width="6.875" style="26" customWidth="1"/>
    <col min="13314" max="13314" width="10.625" style="26" customWidth="1"/>
    <col min="13315" max="13315" width="28" style="26" customWidth="1"/>
    <col min="13316" max="13316" width="8.375" style="26" customWidth="1"/>
    <col min="13317" max="13317" width="12.375" style="26" customWidth="1"/>
    <col min="13318" max="13318" width="10.75" style="26" customWidth="1"/>
    <col min="13319" max="13319" width="6.375" style="26" customWidth="1"/>
    <col min="13320" max="13320" width="6.875" style="26" customWidth="1"/>
    <col min="13321" max="13322" width="6.375" style="26" customWidth="1"/>
    <col min="13323" max="13323" width="8" style="26" customWidth="1"/>
    <col min="13324" max="13325" width="6.375" style="26" customWidth="1"/>
    <col min="13326" max="13326" width="8.25" style="26" customWidth="1"/>
    <col min="13327" max="13327" width="6.375" style="26" customWidth="1"/>
    <col min="13328" max="13328" width="7.25" style="26" customWidth="1"/>
    <col min="13329" max="13329" width="9" style="26" customWidth="1"/>
    <col min="13330" max="13342" width="6.375" style="26" customWidth="1"/>
    <col min="13343" max="13343" width="7.125" style="26" customWidth="1"/>
    <col min="13344" max="13344" width="6.875" style="26" customWidth="1"/>
    <col min="13345" max="13345" width="6.375" style="26" customWidth="1"/>
    <col min="13346" max="13346" width="7.75" style="26" customWidth="1"/>
    <col min="13347" max="13347" width="7.25" style="26" customWidth="1"/>
    <col min="13348" max="13349" width="6.375" style="26" customWidth="1"/>
    <col min="13350" max="13568" width="9" style="26"/>
    <col min="13569" max="13569" width="6.875" style="26" customWidth="1"/>
    <col min="13570" max="13570" width="10.625" style="26" customWidth="1"/>
    <col min="13571" max="13571" width="28" style="26" customWidth="1"/>
    <col min="13572" max="13572" width="8.375" style="26" customWidth="1"/>
    <col min="13573" max="13573" width="12.375" style="26" customWidth="1"/>
    <col min="13574" max="13574" width="10.75" style="26" customWidth="1"/>
    <col min="13575" max="13575" width="6.375" style="26" customWidth="1"/>
    <col min="13576" max="13576" width="6.875" style="26" customWidth="1"/>
    <col min="13577" max="13578" width="6.375" style="26" customWidth="1"/>
    <col min="13579" max="13579" width="8" style="26" customWidth="1"/>
    <col min="13580" max="13581" width="6.375" style="26" customWidth="1"/>
    <col min="13582" max="13582" width="8.25" style="26" customWidth="1"/>
    <col min="13583" max="13583" width="6.375" style="26" customWidth="1"/>
    <col min="13584" max="13584" width="7.25" style="26" customWidth="1"/>
    <col min="13585" max="13585" width="9" style="26" customWidth="1"/>
    <col min="13586" max="13598" width="6.375" style="26" customWidth="1"/>
    <col min="13599" max="13599" width="7.125" style="26" customWidth="1"/>
    <col min="13600" max="13600" width="6.875" style="26" customWidth="1"/>
    <col min="13601" max="13601" width="6.375" style="26" customWidth="1"/>
    <col min="13602" max="13602" width="7.75" style="26" customWidth="1"/>
    <col min="13603" max="13603" width="7.25" style="26" customWidth="1"/>
    <col min="13604" max="13605" width="6.375" style="26" customWidth="1"/>
    <col min="13606" max="13824" width="9" style="26"/>
    <col min="13825" max="13825" width="6.875" style="26" customWidth="1"/>
    <col min="13826" max="13826" width="10.625" style="26" customWidth="1"/>
    <col min="13827" max="13827" width="28" style="26" customWidth="1"/>
    <col min="13828" max="13828" width="8.375" style="26" customWidth="1"/>
    <col min="13829" max="13829" width="12.375" style="26" customWidth="1"/>
    <col min="13830" max="13830" width="10.75" style="26" customWidth="1"/>
    <col min="13831" max="13831" width="6.375" style="26" customWidth="1"/>
    <col min="13832" max="13832" width="6.875" style="26" customWidth="1"/>
    <col min="13833" max="13834" width="6.375" style="26" customWidth="1"/>
    <col min="13835" max="13835" width="8" style="26" customWidth="1"/>
    <col min="13836" max="13837" width="6.375" style="26" customWidth="1"/>
    <col min="13838" max="13838" width="8.25" style="26" customWidth="1"/>
    <col min="13839" max="13839" width="6.375" style="26" customWidth="1"/>
    <col min="13840" max="13840" width="7.25" style="26" customWidth="1"/>
    <col min="13841" max="13841" width="9" style="26" customWidth="1"/>
    <col min="13842" max="13854" width="6.375" style="26" customWidth="1"/>
    <col min="13855" max="13855" width="7.125" style="26" customWidth="1"/>
    <col min="13856" max="13856" width="6.875" style="26" customWidth="1"/>
    <col min="13857" max="13857" width="6.375" style="26" customWidth="1"/>
    <col min="13858" max="13858" width="7.75" style="26" customWidth="1"/>
    <col min="13859" max="13859" width="7.25" style="26" customWidth="1"/>
    <col min="13860" max="13861" width="6.375" style="26" customWidth="1"/>
    <col min="13862" max="14080" width="9" style="26"/>
    <col min="14081" max="14081" width="6.875" style="26" customWidth="1"/>
    <col min="14082" max="14082" width="10.625" style="26" customWidth="1"/>
    <col min="14083" max="14083" width="28" style="26" customWidth="1"/>
    <col min="14084" max="14084" width="8.375" style="26" customWidth="1"/>
    <col min="14085" max="14085" width="12.375" style="26" customWidth="1"/>
    <col min="14086" max="14086" width="10.75" style="26" customWidth="1"/>
    <col min="14087" max="14087" width="6.375" style="26" customWidth="1"/>
    <col min="14088" max="14088" width="6.875" style="26" customWidth="1"/>
    <col min="14089" max="14090" width="6.375" style="26" customWidth="1"/>
    <col min="14091" max="14091" width="8" style="26" customWidth="1"/>
    <col min="14092" max="14093" width="6.375" style="26" customWidth="1"/>
    <col min="14094" max="14094" width="8.25" style="26" customWidth="1"/>
    <col min="14095" max="14095" width="6.375" style="26" customWidth="1"/>
    <col min="14096" max="14096" width="7.25" style="26" customWidth="1"/>
    <col min="14097" max="14097" width="9" style="26" customWidth="1"/>
    <col min="14098" max="14110" width="6.375" style="26" customWidth="1"/>
    <col min="14111" max="14111" width="7.125" style="26" customWidth="1"/>
    <col min="14112" max="14112" width="6.875" style="26" customWidth="1"/>
    <col min="14113" max="14113" width="6.375" style="26" customWidth="1"/>
    <col min="14114" max="14114" width="7.75" style="26" customWidth="1"/>
    <col min="14115" max="14115" width="7.25" style="26" customWidth="1"/>
    <col min="14116" max="14117" width="6.375" style="26" customWidth="1"/>
    <col min="14118" max="14336" width="9" style="26"/>
    <col min="14337" max="14337" width="6.875" style="26" customWidth="1"/>
    <col min="14338" max="14338" width="10.625" style="26" customWidth="1"/>
    <col min="14339" max="14339" width="28" style="26" customWidth="1"/>
    <col min="14340" max="14340" width="8.375" style="26" customWidth="1"/>
    <col min="14341" max="14341" width="12.375" style="26" customWidth="1"/>
    <col min="14342" max="14342" width="10.75" style="26" customWidth="1"/>
    <col min="14343" max="14343" width="6.375" style="26" customWidth="1"/>
    <col min="14344" max="14344" width="6.875" style="26" customWidth="1"/>
    <col min="14345" max="14346" width="6.375" style="26" customWidth="1"/>
    <col min="14347" max="14347" width="8" style="26" customWidth="1"/>
    <col min="14348" max="14349" width="6.375" style="26" customWidth="1"/>
    <col min="14350" max="14350" width="8.25" style="26" customWidth="1"/>
    <col min="14351" max="14351" width="6.375" style="26" customWidth="1"/>
    <col min="14352" max="14352" width="7.25" style="26" customWidth="1"/>
    <col min="14353" max="14353" width="9" style="26" customWidth="1"/>
    <col min="14354" max="14366" width="6.375" style="26" customWidth="1"/>
    <col min="14367" max="14367" width="7.125" style="26" customWidth="1"/>
    <col min="14368" max="14368" width="6.875" style="26" customWidth="1"/>
    <col min="14369" max="14369" width="6.375" style="26" customWidth="1"/>
    <col min="14370" max="14370" width="7.75" style="26" customWidth="1"/>
    <col min="14371" max="14371" width="7.25" style="26" customWidth="1"/>
    <col min="14372" max="14373" width="6.375" style="26" customWidth="1"/>
    <col min="14374" max="14592" width="9" style="26"/>
    <col min="14593" max="14593" width="6.875" style="26" customWidth="1"/>
    <col min="14594" max="14594" width="10.625" style="26" customWidth="1"/>
    <col min="14595" max="14595" width="28" style="26" customWidth="1"/>
    <col min="14596" max="14596" width="8.375" style="26" customWidth="1"/>
    <col min="14597" max="14597" width="12.375" style="26" customWidth="1"/>
    <col min="14598" max="14598" width="10.75" style="26" customWidth="1"/>
    <col min="14599" max="14599" width="6.375" style="26" customWidth="1"/>
    <col min="14600" max="14600" width="6.875" style="26" customWidth="1"/>
    <col min="14601" max="14602" width="6.375" style="26" customWidth="1"/>
    <col min="14603" max="14603" width="8" style="26" customWidth="1"/>
    <col min="14604" max="14605" width="6.375" style="26" customWidth="1"/>
    <col min="14606" max="14606" width="8.25" style="26" customWidth="1"/>
    <col min="14607" max="14607" width="6.375" style="26" customWidth="1"/>
    <col min="14608" max="14608" width="7.25" style="26" customWidth="1"/>
    <col min="14609" max="14609" width="9" style="26" customWidth="1"/>
    <col min="14610" max="14622" width="6.375" style="26" customWidth="1"/>
    <col min="14623" max="14623" width="7.125" style="26" customWidth="1"/>
    <col min="14624" max="14624" width="6.875" style="26" customWidth="1"/>
    <col min="14625" max="14625" width="6.375" style="26" customWidth="1"/>
    <col min="14626" max="14626" width="7.75" style="26" customWidth="1"/>
    <col min="14627" max="14627" width="7.25" style="26" customWidth="1"/>
    <col min="14628" max="14629" width="6.375" style="26" customWidth="1"/>
    <col min="14630" max="14848" width="9" style="26"/>
    <col min="14849" max="14849" width="6.875" style="26" customWidth="1"/>
    <col min="14850" max="14850" width="10.625" style="26" customWidth="1"/>
    <col min="14851" max="14851" width="28" style="26" customWidth="1"/>
    <col min="14852" max="14852" width="8.375" style="26" customWidth="1"/>
    <col min="14853" max="14853" width="12.375" style="26" customWidth="1"/>
    <col min="14854" max="14854" width="10.75" style="26" customWidth="1"/>
    <col min="14855" max="14855" width="6.375" style="26" customWidth="1"/>
    <col min="14856" max="14856" width="6.875" style="26" customWidth="1"/>
    <col min="14857" max="14858" width="6.375" style="26" customWidth="1"/>
    <col min="14859" max="14859" width="8" style="26" customWidth="1"/>
    <col min="14860" max="14861" width="6.375" style="26" customWidth="1"/>
    <col min="14862" max="14862" width="8.25" style="26" customWidth="1"/>
    <col min="14863" max="14863" width="6.375" style="26" customWidth="1"/>
    <col min="14864" max="14864" width="7.25" style="26" customWidth="1"/>
    <col min="14865" max="14865" width="9" style="26" customWidth="1"/>
    <col min="14866" max="14878" width="6.375" style="26" customWidth="1"/>
    <col min="14879" max="14879" width="7.125" style="26" customWidth="1"/>
    <col min="14880" max="14880" width="6.875" style="26" customWidth="1"/>
    <col min="14881" max="14881" width="6.375" style="26" customWidth="1"/>
    <col min="14882" max="14882" width="7.75" style="26" customWidth="1"/>
    <col min="14883" max="14883" width="7.25" style="26" customWidth="1"/>
    <col min="14884" max="14885" width="6.375" style="26" customWidth="1"/>
    <col min="14886" max="15104" width="9" style="26"/>
    <col min="15105" max="15105" width="6.875" style="26" customWidth="1"/>
    <col min="15106" max="15106" width="10.625" style="26" customWidth="1"/>
    <col min="15107" max="15107" width="28" style="26" customWidth="1"/>
    <col min="15108" max="15108" width="8.375" style="26" customWidth="1"/>
    <col min="15109" max="15109" width="12.375" style="26" customWidth="1"/>
    <col min="15110" max="15110" width="10.75" style="26" customWidth="1"/>
    <col min="15111" max="15111" width="6.375" style="26" customWidth="1"/>
    <col min="15112" max="15112" width="6.875" style="26" customWidth="1"/>
    <col min="15113" max="15114" width="6.375" style="26" customWidth="1"/>
    <col min="15115" max="15115" width="8" style="26" customWidth="1"/>
    <col min="15116" max="15117" width="6.375" style="26" customWidth="1"/>
    <col min="15118" max="15118" width="8.25" style="26" customWidth="1"/>
    <col min="15119" max="15119" width="6.375" style="26" customWidth="1"/>
    <col min="15120" max="15120" width="7.25" style="26" customWidth="1"/>
    <col min="15121" max="15121" width="9" style="26" customWidth="1"/>
    <col min="15122" max="15134" width="6.375" style="26" customWidth="1"/>
    <col min="15135" max="15135" width="7.125" style="26" customWidth="1"/>
    <col min="15136" max="15136" width="6.875" style="26" customWidth="1"/>
    <col min="15137" max="15137" width="6.375" style="26" customWidth="1"/>
    <col min="15138" max="15138" width="7.75" style="26" customWidth="1"/>
    <col min="15139" max="15139" width="7.25" style="26" customWidth="1"/>
    <col min="15140" max="15141" width="6.375" style="26" customWidth="1"/>
    <col min="15142" max="15360" width="9" style="26"/>
    <col min="15361" max="15361" width="6.875" style="26" customWidth="1"/>
    <col min="15362" max="15362" width="10.625" style="26" customWidth="1"/>
    <col min="15363" max="15363" width="28" style="26" customWidth="1"/>
    <col min="15364" max="15364" width="8.375" style="26" customWidth="1"/>
    <col min="15365" max="15365" width="12.375" style="26" customWidth="1"/>
    <col min="15366" max="15366" width="10.75" style="26" customWidth="1"/>
    <col min="15367" max="15367" width="6.375" style="26" customWidth="1"/>
    <col min="15368" max="15368" width="6.875" style="26" customWidth="1"/>
    <col min="15369" max="15370" width="6.375" style="26" customWidth="1"/>
    <col min="15371" max="15371" width="8" style="26" customWidth="1"/>
    <col min="15372" max="15373" width="6.375" style="26" customWidth="1"/>
    <col min="15374" max="15374" width="8.25" style="26" customWidth="1"/>
    <col min="15375" max="15375" width="6.375" style="26" customWidth="1"/>
    <col min="15376" max="15376" width="7.25" style="26" customWidth="1"/>
    <col min="15377" max="15377" width="9" style="26" customWidth="1"/>
    <col min="15378" max="15390" width="6.375" style="26" customWidth="1"/>
    <col min="15391" max="15391" width="7.125" style="26" customWidth="1"/>
    <col min="15392" max="15392" width="6.875" style="26" customWidth="1"/>
    <col min="15393" max="15393" width="6.375" style="26" customWidth="1"/>
    <col min="15394" max="15394" width="7.75" style="26" customWidth="1"/>
    <col min="15395" max="15395" width="7.25" style="26" customWidth="1"/>
    <col min="15396" max="15397" width="6.375" style="26" customWidth="1"/>
    <col min="15398" max="15616" width="9" style="26"/>
    <col min="15617" max="15617" width="6.875" style="26" customWidth="1"/>
    <col min="15618" max="15618" width="10.625" style="26" customWidth="1"/>
    <col min="15619" max="15619" width="28" style="26" customWidth="1"/>
    <col min="15620" max="15620" width="8.375" style="26" customWidth="1"/>
    <col min="15621" max="15621" width="12.375" style="26" customWidth="1"/>
    <col min="15622" max="15622" width="10.75" style="26" customWidth="1"/>
    <col min="15623" max="15623" width="6.375" style="26" customWidth="1"/>
    <col min="15624" max="15624" width="6.875" style="26" customWidth="1"/>
    <col min="15625" max="15626" width="6.375" style="26" customWidth="1"/>
    <col min="15627" max="15627" width="8" style="26" customWidth="1"/>
    <col min="15628" max="15629" width="6.375" style="26" customWidth="1"/>
    <col min="15630" max="15630" width="8.25" style="26" customWidth="1"/>
    <col min="15631" max="15631" width="6.375" style="26" customWidth="1"/>
    <col min="15632" max="15632" width="7.25" style="26" customWidth="1"/>
    <col min="15633" max="15633" width="9" style="26" customWidth="1"/>
    <col min="15634" max="15646" width="6.375" style="26" customWidth="1"/>
    <col min="15647" max="15647" width="7.125" style="26" customWidth="1"/>
    <col min="15648" max="15648" width="6.875" style="26" customWidth="1"/>
    <col min="15649" max="15649" width="6.375" style="26" customWidth="1"/>
    <col min="15650" max="15650" width="7.75" style="26" customWidth="1"/>
    <col min="15651" max="15651" width="7.25" style="26" customWidth="1"/>
    <col min="15652" max="15653" width="6.375" style="26" customWidth="1"/>
    <col min="15654" max="15872" width="9" style="26"/>
    <col min="15873" max="15873" width="6.875" style="26" customWidth="1"/>
    <col min="15874" max="15874" width="10.625" style="26" customWidth="1"/>
    <col min="15875" max="15875" width="28" style="26" customWidth="1"/>
    <col min="15876" max="15876" width="8.375" style="26" customWidth="1"/>
    <col min="15877" max="15877" width="12.375" style="26" customWidth="1"/>
    <col min="15878" max="15878" width="10.75" style="26" customWidth="1"/>
    <col min="15879" max="15879" width="6.375" style="26" customWidth="1"/>
    <col min="15880" max="15880" width="6.875" style="26" customWidth="1"/>
    <col min="15881" max="15882" width="6.375" style="26" customWidth="1"/>
    <col min="15883" max="15883" width="8" style="26" customWidth="1"/>
    <col min="15884" max="15885" width="6.375" style="26" customWidth="1"/>
    <col min="15886" max="15886" width="8.25" style="26" customWidth="1"/>
    <col min="15887" max="15887" width="6.375" style="26" customWidth="1"/>
    <col min="15888" max="15888" width="7.25" style="26" customWidth="1"/>
    <col min="15889" max="15889" width="9" style="26" customWidth="1"/>
    <col min="15890" max="15902" width="6.375" style="26" customWidth="1"/>
    <col min="15903" max="15903" width="7.125" style="26" customWidth="1"/>
    <col min="15904" max="15904" width="6.875" style="26" customWidth="1"/>
    <col min="15905" max="15905" width="6.375" style="26" customWidth="1"/>
    <col min="15906" max="15906" width="7.75" style="26" customWidth="1"/>
    <col min="15907" max="15907" width="7.25" style="26" customWidth="1"/>
    <col min="15908" max="15909" width="6.375" style="26" customWidth="1"/>
    <col min="15910" max="16128" width="9" style="26"/>
    <col min="16129" max="16129" width="6.875" style="26" customWidth="1"/>
    <col min="16130" max="16130" width="10.625" style="26" customWidth="1"/>
    <col min="16131" max="16131" width="28" style="26" customWidth="1"/>
    <col min="16132" max="16132" width="8.375" style="26" customWidth="1"/>
    <col min="16133" max="16133" width="12.375" style="26" customWidth="1"/>
    <col min="16134" max="16134" width="10.75" style="26" customWidth="1"/>
    <col min="16135" max="16135" width="6.375" style="26" customWidth="1"/>
    <col min="16136" max="16136" width="6.875" style="26" customWidth="1"/>
    <col min="16137" max="16138" width="6.375" style="26" customWidth="1"/>
    <col min="16139" max="16139" width="8" style="26" customWidth="1"/>
    <col min="16140" max="16141" width="6.375" style="26" customWidth="1"/>
    <col min="16142" max="16142" width="8.25" style="26" customWidth="1"/>
    <col min="16143" max="16143" width="6.375" style="26" customWidth="1"/>
    <col min="16144" max="16144" width="7.25" style="26" customWidth="1"/>
    <col min="16145" max="16145" width="9" style="26" customWidth="1"/>
    <col min="16146" max="16158" width="6.375" style="26" customWidth="1"/>
    <col min="16159" max="16159" width="7.125" style="26" customWidth="1"/>
    <col min="16160" max="16160" width="6.875" style="26" customWidth="1"/>
    <col min="16161" max="16161" width="6.375" style="26" customWidth="1"/>
    <col min="16162" max="16162" width="7.75" style="26" customWidth="1"/>
    <col min="16163" max="16163" width="7.25" style="26" customWidth="1"/>
    <col min="16164" max="16165" width="6.375" style="26" customWidth="1"/>
    <col min="16166" max="16384" width="9" style="26"/>
  </cols>
  <sheetData>
    <row r="1" spans="1:38" s="7" customFormat="1" ht="34.5" customHeight="1">
      <c r="A1" s="2" t="s">
        <v>53</v>
      </c>
      <c r="B1" s="2"/>
      <c r="C1" s="2"/>
      <c r="D1" s="2"/>
      <c r="E1" s="3"/>
      <c r="F1" s="4" t="s">
        <v>54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 t="s">
        <v>55</v>
      </c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8" ht="36" customHeight="1">
      <c r="A2" s="8" t="s">
        <v>56</v>
      </c>
      <c r="B2" s="9" t="s">
        <v>0</v>
      </c>
      <c r="C2" s="10" t="s">
        <v>57</v>
      </c>
      <c r="D2" s="10" t="s">
        <v>58</v>
      </c>
      <c r="E2" s="10" t="s">
        <v>59</v>
      </c>
      <c r="F2" s="11" t="s">
        <v>1</v>
      </c>
      <c r="G2" s="12"/>
      <c r="H2" s="12"/>
      <c r="I2" s="13"/>
      <c r="J2" s="14" t="s">
        <v>60</v>
      </c>
      <c r="K2" s="15"/>
      <c r="L2" s="15"/>
      <c r="M2" s="16"/>
      <c r="N2" s="11" t="s">
        <v>2</v>
      </c>
      <c r="O2" s="12"/>
      <c r="P2" s="12"/>
      <c r="Q2" s="13"/>
      <c r="R2" s="14" t="s">
        <v>3</v>
      </c>
      <c r="S2" s="15"/>
      <c r="T2" s="15"/>
      <c r="U2" s="17"/>
      <c r="V2" s="18" t="s">
        <v>61</v>
      </c>
      <c r="W2" s="12"/>
      <c r="X2" s="12"/>
      <c r="Y2" s="13"/>
      <c r="Z2" s="14" t="s">
        <v>62</v>
      </c>
      <c r="AA2" s="15"/>
      <c r="AB2" s="15"/>
      <c r="AC2" s="16"/>
      <c r="AD2" s="19" t="s">
        <v>4</v>
      </c>
      <c r="AE2" s="20"/>
      <c r="AF2" s="20"/>
      <c r="AG2" s="21"/>
      <c r="AH2" s="22" t="s">
        <v>5</v>
      </c>
      <c r="AI2" s="5"/>
      <c r="AJ2" s="23"/>
      <c r="AK2" s="24"/>
      <c r="AL2" s="25" t="s">
        <v>6</v>
      </c>
    </row>
    <row r="3" spans="1:38" ht="30" customHeight="1">
      <c r="A3" s="27"/>
      <c r="B3" s="28"/>
      <c r="C3" s="29"/>
      <c r="D3" s="29"/>
      <c r="E3" s="29"/>
      <c r="F3" s="30" t="s">
        <v>63</v>
      </c>
      <c r="G3" s="31" t="s">
        <v>64</v>
      </c>
      <c r="H3" s="31" t="s">
        <v>65</v>
      </c>
      <c r="I3" s="31" t="s">
        <v>66</v>
      </c>
      <c r="J3" s="32" t="s">
        <v>63</v>
      </c>
      <c r="K3" s="33" t="s">
        <v>64</v>
      </c>
      <c r="L3" s="34" t="s">
        <v>65</v>
      </c>
      <c r="M3" s="34" t="s">
        <v>66</v>
      </c>
      <c r="N3" s="30" t="s">
        <v>63</v>
      </c>
      <c r="O3" s="31" t="s">
        <v>64</v>
      </c>
      <c r="P3" s="31" t="s">
        <v>65</v>
      </c>
      <c r="Q3" s="31" t="s">
        <v>66</v>
      </c>
      <c r="R3" s="32" t="s">
        <v>63</v>
      </c>
      <c r="S3" s="33" t="s">
        <v>64</v>
      </c>
      <c r="T3" s="34" t="s">
        <v>65</v>
      </c>
      <c r="U3" s="34" t="s">
        <v>66</v>
      </c>
      <c r="V3" s="30" t="s">
        <v>63</v>
      </c>
      <c r="W3" s="31" t="s">
        <v>64</v>
      </c>
      <c r="X3" s="31" t="s">
        <v>65</v>
      </c>
      <c r="Y3" s="31" t="s">
        <v>66</v>
      </c>
      <c r="Z3" s="32" t="s">
        <v>63</v>
      </c>
      <c r="AA3" s="35" t="s">
        <v>67</v>
      </c>
      <c r="AB3" s="34" t="s">
        <v>65</v>
      </c>
      <c r="AC3" s="34" t="s">
        <v>66</v>
      </c>
      <c r="AD3" s="30" t="s">
        <v>63</v>
      </c>
      <c r="AE3" s="31" t="s">
        <v>64</v>
      </c>
      <c r="AF3" s="31" t="s">
        <v>65</v>
      </c>
      <c r="AG3" s="31" t="s">
        <v>66</v>
      </c>
      <c r="AH3" s="32" t="s">
        <v>63</v>
      </c>
      <c r="AI3" s="34" t="s">
        <v>64</v>
      </c>
      <c r="AJ3" s="34" t="s">
        <v>65</v>
      </c>
      <c r="AK3" s="34" t="s">
        <v>66</v>
      </c>
      <c r="AL3" s="25"/>
    </row>
    <row r="4" spans="1:38" s="46" customFormat="1" ht="26.25" customHeight="1">
      <c r="A4" s="36">
        <v>1</v>
      </c>
      <c r="B4" s="37" t="s">
        <v>68</v>
      </c>
      <c r="C4" s="38" t="s">
        <v>69</v>
      </c>
      <c r="D4" s="39" t="s">
        <v>70</v>
      </c>
      <c r="E4" s="40">
        <v>45027</v>
      </c>
      <c r="F4" s="41">
        <v>617.53</v>
      </c>
      <c r="G4" s="42">
        <f>F4*0.2-6.9655*1.2-1.507*1.2-1.254*1.2-0.087*1.2-0.6293*1.2-0.0336*1.2-1.262*1.2-0.145*1.1-1.88*1.2-0.653*1.2-0.0943*1.2</f>
        <v>106.10766000000001</v>
      </c>
      <c r="H4" s="42">
        <f>F4*0.6-0.206*1.2-13.7139*1.1-111.5705*1.1-48.3915*1.1</f>
        <v>179.22730999999996</v>
      </c>
      <c r="I4" s="42">
        <f>F4*0.2</f>
        <v>123.506</v>
      </c>
      <c r="J4" s="42">
        <v>114.03</v>
      </c>
      <c r="K4" s="42">
        <f>J4*0.2-0.5572*1.2-0.0116*1.1-0.15*1.2</f>
        <v>21.944600000000001</v>
      </c>
      <c r="L4" s="43">
        <f>J4*0.6-8.9256*1.1</f>
        <v>58.599839999999993</v>
      </c>
      <c r="M4" s="43">
        <f>J4*0.2</f>
        <v>22.806000000000001</v>
      </c>
      <c r="N4" s="43">
        <v>143.35</v>
      </c>
      <c r="O4" s="43">
        <f>N4*0.2-1.6717*1.2-0.0348*1.1-0.451*1.2</f>
        <v>26.084480000000003</v>
      </c>
      <c r="P4" s="43">
        <f>N4*0.6-26.7769*1.1-0.02778-0.0231*1.2</f>
        <v>56.499909999999986</v>
      </c>
      <c r="Q4" s="43">
        <f>N4*0.2</f>
        <v>28.67</v>
      </c>
      <c r="R4" s="43">
        <v>22.64</v>
      </c>
      <c r="S4" s="42">
        <f>R4*0.2-0.0015*1.1-0.019*1.2</f>
        <v>4.5035500000000006</v>
      </c>
      <c r="T4" s="42">
        <f>R4*0.6-1.1157*1.1</f>
        <v>12.356729999999999</v>
      </c>
      <c r="U4" s="42">
        <f>R4*0.2</f>
        <v>4.5280000000000005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4"/>
      <c r="AJ4" s="44"/>
      <c r="AK4" s="44"/>
      <c r="AL4" s="45"/>
    </row>
    <row r="5" spans="1:38" s="46" customFormat="1" ht="26.25" customHeight="1">
      <c r="A5" s="36">
        <v>2</v>
      </c>
      <c r="B5" s="47" t="s">
        <v>68</v>
      </c>
      <c r="C5" s="38" t="s">
        <v>71</v>
      </c>
      <c r="D5" s="39" t="s">
        <v>70</v>
      </c>
      <c r="E5" s="40">
        <v>45184</v>
      </c>
      <c r="F5" s="41"/>
      <c r="G5" s="42"/>
      <c r="H5" s="42"/>
      <c r="I5" s="42"/>
      <c r="J5" s="42"/>
      <c r="K5" s="42"/>
      <c r="L5" s="43"/>
      <c r="M5" s="43"/>
      <c r="N5" s="43"/>
      <c r="O5" s="43"/>
      <c r="P5" s="43"/>
      <c r="Q5" s="43"/>
      <c r="R5" s="43"/>
      <c r="S5" s="42"/>
      <c r="T5" s="42"/>
      <c r="U5" s="42"/>
      <c r="V5" s="42">
        <v>378.96</v>
      </c>
      <c r="W5" s="42">
        <f>V5*0.2-0.09*1.1-0.495*1.1-0.019*1.1-0.02*1.1-0.132*1.1</f>
        <v>74.960399999999993</v>
      </c>
      <c r="X5" s="42">
        <f>V5*0.6-143.38-0.01*1.1-0.05*1.1-0.036*1.1-0.12*1.1-0.4*1.1-0.03*1.1</f>
        <v>83.285399999999981</v>
      </c>
      <c r="Y5" s="42">
        <f>V5*0.2</f>
        <v>75.792000000000002</v>
      </c>
      <c r="Z5" s="42">
        <v>541.23</v>
      </c>
      <c r="AA5" s="42">
        <f>Z5*0.2+324.738-363.34+0.3711-1.056*1.2-0.374*1.2-0.8415*1.2-1.823*1.2-0.3366*1.2-0.561*1.2-0.0888*1.2-0.0236*1.2-3.74*1.2-0.094*1.2-1.2342*1.2</f>
        <v>57.807860000000055</v>
      </c>
      <c r="AB5" s="42">
        <f>Z5*0.6-324.738</f>
        <v>0</v>
      </c>
      <c r="AC5" s="42">
        <f>Z5*0.2</f>
        <v>108.24600000000001</v>
      </c>
      <c r="AD5" s="42"/>
      <c r="AE5" s="42"/>
      <c r="AF5" s="42"/>
      <c r="AG5" s="42"/>
      <c r="AH5" s="42"/>
      <c r="AI5" s="44"/>
      <c r="AJ5" s="44"/>
      <c r="AK5" s="44"/>
      <c r="AL5" s="45"/>
    </row>
    <row r="6" spans="1:38" s="46" customFormat="1" ht="26.25" customHeight="1">
      <c r="A6" s="36">
        <v>3</v>
      </c>
      <c r="B6" s="37" t="s">
        <v>68</v>
      </c>
      <c r="C6" s="38" t="s">
        <v>72</v>
      </c>
      <c r="D6" s="39" t="s">
        <v>70</v>
      </c>
      <c r="E6" s="40">
        <v>45207</v>
      </c>
      <c r="F6" s="41"/>
      <c r="G6" s="42"/>
      <c r="H6" s="42"/>
      <c r="I6" s="42"/>
      <c r="J6" s="42"/>
      <c r="K6" s="42"/>
      <c r="L6" s="43"/>
      <c r="M6" s="43"/>
      <c r="N6" s="43"/>
      <c r="O6" s="43"/>
      <c r="P6" s="43"/>
      <c r="Q6" s="43"/>
      <c r="R6" s="43"/>
      <c r="S6" s="42"/>
      <c r="T6" s="42"/>
      <c r="U6" s="42"/>
      <c r="V6" s="42">
        <v>470.74200000000002</v>
      </c>
      <c r="W6" s="42">
        <f>V6*0.2</f>
        <v>94.148400000000009</v>
      </c>
      <c r="X6" s="42">
        <f>V6*0.6-125.1*1.1+72-94.99</f>
        <v>121.84519999999999</v>
      </c>
      <c r="Y6" s="42">
        <f>V6*0.2</f>
        <v>94.148400000000009</v>
      </c>
      <c r="Z6" s="42">
        <v>302.71440000000001</v>
      </c>
      <c r="AA6" s="42">
        <f>Z6*0.2+144-94.25*2</f>
        <v>16.042879999999997</v>
      </c>
      <c r="AB6" s="42">
        <f>Z6*0.6-181.6286</f>
        <v>3.9999999984274837E-5</v>
      </c>
      <c r="AC6" s="42">
        <f>Z6*0.2</f>
        <v>60.542880000000004</v>
      </c>
      <c r="AD6" s="42">
        <v>16.13</v>
      </c>
      <c r="AE6" s="42">
        <f>AD6*0.2</f>
        <v>3.226</v>
      </c>
      <c r="AF6" s="42">
        <f>AD6*0.6-9.678</f>
        <v>0</v>
      </c>
      <c r="AG6" s="42">
        <f>AD6*0.2</f>
        <v>3.226</v>
      </c>
      <c r="AH6" s="42"/>
      <c r="AI6" s="44"/>
      <c r="AJ6" s="44"/>
      <c r="AK6" s="44"/>
      <c r="AL6" s="45"/>
    </row>
    <row r="7" spans="1:38" s="46" customFormat="1" ht="26.25" customHeight="1">
      <c r="A7" s="36">
        <v>4</v>
      </c>
      <c r="B7" s="37" t="s">
        <v>68</v>
      </c>
      <c r="C7" s="38" t="s">
        <v>73</v>
      </c>
      <c r="D7" s="39" t="s">
        <v>70</v>
      </c>
      <c r="E7" s="40">
        <v>45207</v>
      </c>
      <c r="F7" s="41"/>
      <c r="G7" s="42"/>
      <c r="H7" s="42"/>
      <c r="I7" s="42"/>
      <c r="J7" s="42"/>
      <c r="K7" s="42"/>
      <c r="L7" s="43"/>
      <c r="M7" s="43"/>
      <c r="N7" s="43"/>
      <c r="O7" s="43"/>
      <c r="P7" s="43"/>
      <c r="Q7" s="43"/>
      <c r="R7" s="43"/>
      <c r="S7" s="42"/>
      <c r="T7" s="42"/>
      <c r="U7" s="42"/>
      <c r="V7" s="42"/>
      <c r="W7" s="42"/>
      <c r="X7" s="42"/>
      <c r="Y7" s="42"/>
      <c r="Z7" s="42">
        <v>302.71440000000001</v>
      </c>
      <c r="AA7" s="42">
        <v>49.299199999999999</v>
      </c>
      <c r="AB7" s="42">
        <f>147.8977-147.8977</f>
        <v>0</v>
      </c>
      <c r="AC7" s="42">
        <v>60.5428</v>
      </c>
      <c r="AD7" s="42"/>
      <c r="AE7" s="42"/>
      <c r="AF7" s="42"/>
      <c r="AG7" s="42"/>
      <c r="AH7" s="42"/>
      <c r="AI7" s="44"/>
      <c r="AJ7" s="44"/>
      <c r="AK7" s="44"/>
      <c r="AL7" s="45"/>
    </row>
    <row r="8" spans="1:38" s="46" customFormat="1" ht="26.25" customHeight="1">
      <c r="A8" s="36">
        <v>5</v>
      </c>
      <c r="B8" s="48" t="s">
        <v>74</v>
      </c>
      <c r="C8" s="39" t="s">
        <v>75</v>
      </c>
      <c r="D8" s="39" t="s">
        <v>70</v>
      </c>
      <c r="E8" s="40">
        <v>45910</v>
      </c>
      <c r="F8" s="41"/>
      <c r="G8" s="42"/>
      <c r="H8" s="42"/>
      <c r="I8" s="42"/>
      <c r="J8" s="42"/>
      <c r="K8" s="42"/>
      <c r="L8" s="43"/>
      <c r="M8" s="43"/>
      <c r="N8" s="43"/>
      <c r="O8" s="43"/>
      <c r="P8" s="43"/>
      <c r="Q8" s="43"/>
      <c r="R8" s="43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9">
        <v>0.42349999999999999</v>
      </c>
      <c r="AE8" s="42">
        <f>AD8*0.2-0.0847</f>
        <v>0</v>
      </c>
      <c r="AF8" s="42">
        <f>AD8*0.6-0.2541</f>
        <v>0</v>
      </c>
      <c r="AG8" s="42">
        <f>AD8*0.2</f>
        <v>8.4699999999999998E-2</v>
      </c>
      <c r="AH8" s="49">
        <v>0.8407</v>
      </c>
      <c r="AI8" s="44">
        <f>AH8*0.2-0.1681</f>
        <v>4.0000000000012248E-5</v>
      </c>
      <c r="AJ8" s="44">
        <f>AH8*0.6-0.5044</f>
        <v>2.0000000000020002E-5</v>
      </c>
      <c r="AK8" s="44">
        <f>AH8*0.2</f>
        <v>0.16814000000000001</v>
      </c>
      <c r="AL8" s="45"/>
    </row>
    <row r="9" spans="1:38" s="46" customFormat="1" ht="26.25" customHeight="1">
      <c r="A9" s="36">
        <v>6</v>
      </c>
      <c r="B9" s="37" t="s">
        <v>40</v>
      </c>
      <c r="C9" s="38" t="s">
        <v>45</v>
      </c>
      <c r="D9" s="39" t="s">
        <v>70</v>
      </c>
      <c r="E9" s="50">
        <v>45581</v>
      </c>
      <c r="F9" s="41"/>
      <c r="G9" s="42"/>
      <c r="H9" s="42"/>
      <c r="I9" s="42"/>
      <c r="J9" s="42"/>
      <c r="K9" s="42"/>
      <c r="L9" s="43"/>
      <c r="M9" s="43"/>
      <c r="N9" s="43"/>
      <c r="O9" s="43"/>
      <c r="P9" s="43"/>
      <c r="Q9" s="43"/>
      <c r="R9" s="43"/>
      <c r="S9" s="42"/>
      <c r="T9" s="42"/>
      <c r="U9" s="42"/>
      <c r="V9" s="49">
        <v>99.293700000000001</v>
      </c>
      <c r="W9" s="42">
        <f>V9*0.2-1.82-0.35-0.0084*1.1-0.03*1.1-17.6465</f>
        <v>0</v>
      </c>
      <c r="X9" s="42">
        <f>V9*0.6+17.6465-17.562*1.1</f>
        <v>57.904519999999991</v>
      </c>
      <c r="Y9" s="42">
        <f>V9*0.2</f>
        <v>19.858740000000001</v>
      </c>
      <c r="Z9" s="49">
        <v>132.2535</v>
      </c>
      <c r="AA9" s="42">
        <f>Z9*0.2-1.6235*1.2-8.5085-3.282-0.0393*1.2-0.0187*1.2-0.425*1.2-5.894*1.2</f>
        <v>5.0596000000000023</v>
      </c>
      <c r="AB9" s="42">
        <f>Z9*0.6+152.3028+0.561+29.426-164.7178*1.2</f>
        <v>63.980540000000019</v>
      </c>
      <c r="AC9" s="42">
        <f>Z9*0.2</f>
        <v>26.450700000000001</v>
      </c>
      <c r="AD9" s="49">
        <v>362.9785</v>
      </c>
      <c r="AE9" s="42">
        <f>AD9*0.2-6.45952*1.1-0.3472*1.1-3.9087-0.502-0.148*1.1-0.19*1.1-0.739*1.1-0.4399*1.1-0.1257*1.1-1.6829*1.1-0.0207*1.1-0.042*1.1-0.9903*1.1-0.2576*1.1-1.2916*1.1-0.7307*1.1-0.0035*1.1-0.0853*1.1-1.3174*1.1-0.0205*1.1-1.0658*1.1</f>
        <v>50.631618000000003</v>
      </c>
      <c r="AF9" s="42">
        <f>AD9*0.6-0.2059*1.1</f>
        <v>217.56060999999997</v>
      </c>
      <c r="AG9" s="42">
        <f>AD9*0.2</f>
        <v>72.595700000000008</v>
      </c>
      <c r="AH9" s="42"/>
      <c r="AI9" s="44"/>
      <c r="AJ9" s="44"/>
      <c r="AK9" s="44"/>
      <c r="AL9" s="45"/>
    </row>
    <row r="10" spans="1:38" s="1" customFormat="1" ht="26.25" customHeight="1">
      <c r="A10" s="36">
        <v>7</v>
      </c>
      <c r="B10" s="37" t="s">
        <v>40</v>
      </c>
      <c r="C10" s="39" t="s">
        <v>76</v>
      </c>
      <c r="D10" s="39" t="s">
        <v>70</v>
      </c>
      <c r="E10" s="50">
        <v>45027</v>
      </c>
      <c r="F10" s="41">
        <v>49.5</v>
      </c>
      <c r="G10" s="42">
        <f>F10*0.2-9.9</f>
        <v>0</v>
      </c>
      <c r="H10" s="42">
        <f>F10*0.6-25.2873-4.4127</f>
        <v>0</v>
      </c>
      <c r="I10" s="42">
        <f>F10*0.2</f>
        <v>9.9</v>
      </c>
      <c r="J10" s="42">
        <v>2.31</v>
      </c>
      <c r="K10" s="42">
        <f>J10*0.2-0.024*1.1</f>
        <v>0.43560000000000004</v>
      </c>
      <c r="L10" s="43">
        <f>J10*0.6-0.9924-0.1504-0.0645-0.1787</f>
        <v>0</v>
      </c>
      <c r="M10" s="43">
        <f>J10*0.2</f>
        <v>0.46200000000000002</v>
      </c>
      <c r="N10" s="43">
        <v>9.86</v>
      </c>
      <c r="O10" s="43">
        <f>N10*0.2-1.972</f>
        <v>0</v>
      </c>
      <c r="P10" s="43">
        <f>N10*0.6-2.031-1.5047-2.3803</f>
        <v>0</v>
      </c>
      <c r="Q10" s="43">
        <f>N10*0.2</f>
        <v>1.972</v>
      </c>
      <c r="R10" s="43">
        <v>0.48</v>
      </c>
      <c r="S10" s="42">
        <f>R10*0.2-0.096</f>
        <v>0</v>
      </c>
      <c r="T10" s="42">
        <f>R10*0.6-0.1749-0.0753-0.0323+0.096-0.0749-0.0037*1.1</f>
        <v>2.2529999999999984E-2</v>
      </c>
      <c r="U10" s="42">
        <f>R10*0.2</f>
        <v>9.6000000000000002E-2</v>
      </c>
      <c r="V10" s="42">
        <v>5.94</v>
      </c>
      <c r="W10" s="42">
        <f>V10*0.2-0.09*1.1</f>
        <v>1.0890000000000002</v>
      </c>
      <c r="X10" s="42">
        <f>V10*0.6-0.04*1.1</f>
        <v>3.52</v>
      </c>
      <c r="Y10" s="42">
        <f>V10*0.2</f>
        <v>1.1880000000000002</v>
      </c>
      <c r="Z10" s="42"/>
      <c r="AA10" s="42"/>
      <c r="AB10" s="42"/>
      <c r="AC10" s="42"/>
      <c r="AD10" s="42">
        <v>2.4039999999999999</v>
      </c>
      <c r="AE10" s="42">
        <f>AD10*0.2-0.0017*1.1-0.2406*1.1-0.2143</f>
        <v>-2.9999999999974492E-5</v>
      </c>
      <c r="AF10" s="42">
        <f>AD10*0.6-0.541*1.1-0.8473</f>
        <v>0</v>
      </c>
      <c r="AG10" s="42">
        <f>AD10*0.2</f>
        <v>0.48080000000000001</v>
      </c>
      <c r="AH10" s="42"/>
      <c r="AI10" s="44"/>
      <c r="AJ10" s="44"/>
      <c r="AK10" s="44"/>
      <c r="AL10" s="45"/>
    </row>
    <row r="11" spans="1:38" s="1" customFormat="1" ht="26.25" customHeight="1">
      <c r="A11" s="36">
        <v>8</v>
      </c>
      <c r="B11" s="37" t="s">
        <v>40</v>
      </c>
      <c r="C11" s="38" t="s">
        <v>77</v>
      </c>
      <c r="D11" s="39" t="s">
        <v>70</v>
      </c>
      <c r="E11" s="50">
        <v>45162</v>
      </c>
      <c r="F11" s="41">
        <v>10.8</v>
      </c>
      <c r="G11" s="42">
        <f>F11*0.2-0.1989*1.1-1.9412</f>
        <v>1.0000000000065512E-5</v>
      </c>
      <c r="H11" s="42">
        <f>F11*0.6-6.48</f>
        <v>0</v>
      </c>
      <c r="I11" s="42">
        <f>F11*0.2</f>
        <v>2.16</v>
      </c>
      <c r="J11" s="42">
        <v>0.43</v>
      </c>
      <c r="K11" s="42">
        <f>J11*0.2</f>
        <v>8.6000000000000007E-2</v>
      </c>
      <c r="L11" s="43">
        <f>J11*0.6+0.1787-0.4253</f>
        <v>1.1399999999999966E-2</v>
      </c>
      <c r="M11" s="43">
        <f>J11*0.2</f>
        <v>8.6000000000000007E-2</v>
      </c>
      <c r="N11" s="43">
        <v>1.76</v>
      </c>
      <c r="O11" s="43">
        <f>N11*0.2-0.352</f>
        <v>0</v>
      </c>
      <c r="P11" s="43">
        <f>N11*0.6-1.056</f>
        <v>0</v>
      </c>
      <c r="Q11" s="43">
        <f>N11*0.2</f>
        <v>0.35200000000000004</v>
      </c>
      <c r="R11" s="43">
        <v>8.4000000000000005E-2</v>
      </c>
      <c r="S11" s="42">
        <f>R11*0.2</f>
        <v>1.6800000000000002E-2</v>
      </c>
      <c r="T11" s="42">
        <f>R11*0.6</f>
        <v>5.04E-2</v>
      </c>
      <c r="U11" s="42">
        <f>R11*0.2</f>
        <v>1.6800000000000002E-2</v>
      </c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4"/>
      <c r="AJ11" s="44"/>
      <c r="AK11" s="44"/>
      <c r="AL11" s="45"/>
    </row>
    <row r="12" spans="1:38" s="1" customFormat="1" ht="26.25" customHeight="1">
      <c r="A12" s="36">
        <v>9</v>
      </c>
      <c r="B12" s="37" t="s">
        <v>40</v>
      </c>
      <c r="C12" s="38" t="s">
        <v>42</v>
      </c>
      <c r="D12" s="39" t="s">
        <v>70</v>
      </c>
      <c r="E12" s="50">
        <v>45624</v>
      </c>
      <c r="F12" s="41"/>
      <c r="G12" s="42"/>
      <c r="H12" s="42"/>
      <c r="I12" s="42"/>
      <c r="J12" s="42"/>
      <c r="K12" s="42"/>
      <c r="L12" s="43"/>
      <c r="M12" s="43"/>
      <c r="N12" s="43"/>
      <c r="O12" s="43"/>
      <c r="P12" s="43"/>
      <c r="Q12" s="43"/>
      <c r="R12" s="43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>
        <v>10.61</v>
      </c>
      <c r="AI12" s="44">
        <f>AH12*0.2-0.0886*2-0.6376*2-0.6696</f>
        <v>0</v>
      </c>
      <c r="AJ12" s="44">
        <f>AH12*0.6+0.6696-0.6336*2-0.271*2-0.372*2-0.0734*2-0.03*2-0.5053*2-0.171*2-0.401*2-0.038*2-0.8717*2-0.3016</f>
        <v>0</v>
      </c>
      <c r="AK12" s="44">
        <f>AH12*0.2</f>
        <v>2.1219999999999999</v>
      </c>
      <c r="AL12" s="45"/>
    </row>
    <row r="13" spans="1:38" s="1" customFormat="1" ht="26.25" customHeight="1">
      <c r="A13" s="36">
        <v>10</v>
      </c>
      <c r="B13" s="37" t="s">
        <v>40</v>
      </c>
      <c r="C13" s="38" t="s">
        <v>78</v>
      </c>
      <c r="D13" s="39" t="s">
        <v>70</v>
      </c>
      <c r="E13" s="50">
        <v>45624</v>
      </c>
      <c r="F13" s="41" t="s">
        <v>79</v>
      </c>
      <c r="G13" s="42">
        <f>F13*0.2</f>
        <v>0.15280000000000002</v>
      </c>
      <c r="H13" s="42">
        <f>F13*0.6-0.4138*1.1</f>
        <v>3.2199999999999451E-3</v>
      </c>
      <c r="I13" s="42">
        <f>F13*0.2</f>
        <v>0.15280000000000002</v>
      </c>
      <c r="J13" s="42"/>
      <c r="K13" s="42"/>
      <c r="L13" s="43"/>
      <c r="M13" s="43"/>
      <c r="N13" s="43"/>
      <c r="O13" s="43"/>
      <c r="P13" s="43"/>
      <c r="Q13" s="43"/>
      <c r="R13" s="43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4"/>
      <c r="AJ13" s="44"/>
      <c r="AK13" s="44"/>
      <c r="AL13" s="45"/>
    </row>
    <row r="14" spans="1:38" s="1" customFormat="1" ht="26.25" customHeight="1">
      <c r="A14" s="36">
        <v>11</v>
      </c>
      <c r="B14" s="37" t="s">
        <v>40</v>
      </c>
      <c r="C14" s="38" t="s">
        <v>78</v>
      </c>
      <c r="D14" s="39" t="s">
        <v>70</v>
      </c>
      <c r="E14" s="50">
        <v>45503</v>
      </c>
      <c r="F14" s="41"/>
      <c r="G14" s="42"/>
      <c r="H14" s="42"/>
      <c r="I14" s="42"/>
      <c r="J14" s="42"/>
      <c r="K14" s="42"/>
      <c r="L14" s="43"/>
      <c r="M14" s="43"/>
      <c r="N14" s="43"/>
      <c r="O14" s="43"/>
      <c r="P14" s="43"/>
      <c r="Q14" s="43"/>
      <c r="R14" s="43"/>
      <c r="S14" s="42"/>
      <c r="T14" s="42"/>
      <c r="U14" s="42"/>
      <c r="V14" s="42">
        <v>2.1739999999999999</v>
      </c>
      <c r="W14" s="42">
        <f>V14*0.2-0.0044*1.1</f>
        <v>0.42996000000000001</v>
      </c>
      <c r="X14" s="42">
        <f>V14*0.6</f>
        <v>1.3044</v>
      </c>
      <c r="Y14" s="42">
        <f>V14*0.2</f>
        <v>0.43480000000000002</v>
      </c>
      <c r="Z14" s="42">
        <v>2.8643000000000001</v>
      </c>
      <c r="AA14" s="42">
        <f>Z14*0.2-0.0411*1.2</f>
        <v>0.52354000000000001</v>
      </c>
      <c r="AB14" s="42">
        <f>Z14*0.6-0.411*1.2</f>
        <v>1.2253799999999999</v>
      </c>
      <c r="AC14" s="42">
        <f>Z14*0.2</f>
        <v>0.57286000000000004</v>
      </c>
      <c r="AD14" s="42">
        <v>0.39500000000000002</v>
      </c>
      <c r="AE14" s="42">
        <f>AD14*0.2-0.079</f>
        <v>0</v>
      </c>
      <c r="AF14" s="42">
        <f>AD14*0.6-0.237</f>
        <v>0</v>
      </c>
      <c r="AG14" s="42">
        <f>AD14*0.2</f>
        <v>7.9000000000000015E-2</v>
      </c>
      <c r="AH14" s="42">
        <v>0.13550000000000001</v>
      </c>
      <c r="AI14" s="44">
        <f>AH14*0.2-0.0133*2-0.0005</f>
        <v>3.903127820947816E-18</v>
      </c>
      <c r="AJ14" s="44">
        <f>AH14*0.6-0.0226*2-0.0172*2-0.0017</f>
        <v>0</v>
      </c>
      <c r="AK14" s="44">
        <f>AH14*0.2</f>
        <v>2.7100000000000003E-2</v>
      </c>
      <c r="AL14" s="45"/>
    </row>
    <row r="15" spans="1:38" s="1" customFormat="1" ht="26.25" customHeight="1">
      <c r="A15" s="36">
        <v>12</v>
      </c>
      <c r="B15" s="37" t="s">
        <v>40</v>
      </c>
      <c r="C15" s="38" t="s">
        <v>43</v>
      </c>
      <c r="D15" s="39" t="s">
        <v>70</v>
      </c>
      <c r="E15" s="50">
        <v>45624</v>
      </c>
      <c r="F15" s="41"/>
      <c r="G15" s="42"/>
      <c r="H15" s="42"/>
      <c r="I15" s="42"/>
      <c r="J15" s="42"/>
      <c r="K15" s="42"/>
      <c r="L15" s="43"/>
      <c r="M15" s="43"/>
      <c r="N15" s="43"/>
      <c r="O15" s="43"/>
      <c r="P15" s="43"/>
      <c r="Q15" s="43"/>
      <c r="R15" s="43"/>
      <c r="S15" s="42"/>
      <c r="T15" s="42"/>
      <c r="U15" s="42"/>
      <c r="V15" s="49">
        <v>6.75</v>
      </c>
      <c r="W15" s="42">
        <f>V15*0.2-0.081*1.1</f>
        <v>1.2609000000000001</v>
      </c>
      <c r="X15" s="42">
        <f>V15*0.6</f>
        <v>4.05</v>
      </c>
      <c r="Y15" s="42">
        <f>V15*0.2</f>
        <v>1.35</v>
      </c>
      <c r="Z15" s="49">
        <v>1.74</v>
      </c>
      <c r="AA15" s="42">
        <f>Z15*0.2-0.348</f>
        <v>0</v>
      </c>
      <c r="AB15" s="42">
        <f>Z15*0.6+0.348-0.468*1.2</f>
        <v>0.83039999999999992</v>
      </c>
      <c r="AC15" s="42">
        <f>Z15*0.2</f>
        <v>0.34800000000000003</v>
      </c>
      <c r="AD15" s="42">
        <v>0.27</v>
      </c>
      <c r="AE15" s="42">
        <f>AD15*0.2-0.054</f>
        <v>0</v>
      </c>
      <c r="AF15" s="42">
        <f>AD15*0.6+0.054-0.0183*1.1-0.1054*1.1</f>
        <v>7.9929999999999987E-2</v>
      </c>
      <c r="AG15" s="42">
        <f>AD15*0.2</f>
        <v>5.4000000000000006E-2</v>
      </c>
      <c r="AH15" s="51">
        <v>0.47</v>
      </c>
      <c r="AI15" s="44">
        <f>AH15*0.2-0.02*2-0.054</f>
        <v>0</v>
      </c>
      <c r="AJ15" s="44">
        <f>AH15*0.6+0.054-0.032*2-0.0349*2-0.0088*2-0.1846</f>
        <v>0</v>
      </c>
      <c r="AK15" s="44">
        <f>AH15*0.2</f>
        <v>9.4E-2</v>
      </c>
      <c r="AL15" s="45"/>
    </row>
    <row r="16" spans="1:38" s="1" customFormat="1" ht="26.25" customHeight="1">
      <c r="A16" s="36">
        <v>13</v>
      </c>
      <c r="B16" s="37" t="s">
        <v>40</v>
      </c>
      <c r="C16" s="38" t="s">
        <v>80</v>
      </c>
      <c r="D16" s="39" t="s">
        <v>70</v>
      </c>
      <c r="E16" s="50">
        <v>45624</v>
      </c>
      <c r="F16" s="41"/>
      <c r="G16" s="42"/>
      <c r="H16" s="42"/>
      <c r="I16" s="42"/>
      <c r="J16" s="42"/>
      <c r="K16" s="42"/>
      <c r="L16" s="43"/>
      <c r="M16" s="43"/>
      <c r="N16" s="43"/>
      <c r="O16" s="43"/>
      <c r="P16" s="43"/>
      <c r="Q16" s="43"/>
      <c r="R16" s="43"/>
      <c r="S16" s="42"/>
      <c r="T16" s="42"/>
      <c r="U16" s="42"/>
      <c r="V16" s="42"/>
      <c r="W16" s="42"/>
      <c r="X16" s="42"/>
      <c r="Y16" s="42"/>
      <c r="Z16" s="49">
        <v>2.4500000000000002</v>
      </c>
      <c r="AA16" s="42">
        <f>Z16*0.2</f>
        <v>0.49000000000000005</v>
      </c>
      <c r="AB16" s="42">
        <f>Z16*0.6</f>
        <v>1.47</v>
      </c>
      <c r="AC16" s="42">
        <f>Z16*0.2</f>
        <v>0.49000000000000005</v>
      </c>
      <c r="AD16" s="42"/>
      <c r="AE16" s="42"/>
      <c r="AF16" s="42"/>
      <c r="AG16" s="42"/>
      <c r="AH16" s="42"/>
      <c r="AI16" s="44"/>
      <c r="AJ16" s="44"/>
      <c r="AK16" s="44"/>
      <c r="AL16" s="45"/>
    </row>
    <row r="17" spans="1:38" s="1" customFormat="1" ht="26.25" customHeight="1">
      <c r="A17" s="36">
        <v>14</v>
      </c>
      <c r="B17" s="37" t="s">
        <v>40</v>
      </c>
      <c r="C17" s="38" t="s">
        <v>80</v>
      </c>
      <c r="D17" s="39" t="s">
        <v>70</v>
      </c>
      <c r="E17" s="50">
        <v>45721</v>
      </c>
      <c r="F17" s="52">
        <v>4.9720000000000004</v>
      </c>
      <c r="G17" s="42">
        <f>F17*0.2</f>
        <v>0.99440000000000017</v>
      </c>
      <c r="H17" s="42">
        <f>F17*0.6</f>
        <v>2.9832000000000001</v>
      </c>
      <c r="I17" s="42">
        <f>F17*0.2</f>
        <v>0.99440000000000017</v>
      </c>
      <c r="J17" s="42"/>
      <c r="K17" s="42"/>
      <c r="L17" s="43"/>
      <c r="M17" s="43"/>
      <c r="N17" s="43"/>
      <c r="O17" s="43"/>
      <c r="P17" s="43"/>
      <c r="Q17" s="43"/>
      <c r="R17" s="43"/>
      <c r="S17" s="42"/>
      <c r="T17" s="42"/>
      <c r="U17" s="42"/>
      <c r="V17" s="42"/>
      <c r="W17" s="42"/>
      <c r="X17" s="42"/>
      <c r="Y17" s="42"/>
      <c r="Z17" s="49"/>
      <c r="AA17" s="42"/>
      <c r="AB17" s="42"/>
      <c r="AC17" s="42"/>
      <c r="AD17" s="42"/>
      <c r="AE17" s="42"/>
      <c r="AF17" s="42"/>
      <c r="AG17" s="42"/>
      <c r="AH17" s="42"/>
      <c r="AI17" s="44"/>
      <c r="AJ17" s="44"/>
      <c r="AK17" s="44"/>
      <c r="AL17" s="45"/>
    </row>
    <row r="18" spans="1:38" s="1" customFormat="1" ht="26.25" customHeight="1">
      <c r="A18" s="36">
        <v>15</v>
      </c>
      <c r="B18" s="37" t="s">
        <v>40</v>
      </c>
      <c r="C18" s="38" t="s">
        <v>41</v>
      </c>
      <c r="D18" s="39" t="s">
        <v>70</v>
      </c>
      <c r="E18" s="50">
        <v>45791</v>
      </c>
      <c r="F18" s="52"/>
      <c r="G18" s="42"/>
      <c r="H18" s="42"/>
      <c r="I18" s="42"/>
      <c r="J18" s="42"/>
      <c r="K18" s="42"/>
      <c r="L18" s="43"/>
      <c r="M18" s="43"/>
      <c r="N18" s="43"/>
      <c r="O18" s="43"/>
      <c r="P18" s="43"/>
      <c r="Q18" s="43"/>
      <c r="R18" s="43"/>
      <c r="S18" s="42"/>
      <c r="T18" s="42"/>
      <c r="U18" s="42"/>
      <c r="V18" s="42"/>
      <c r="W18" s="42"/>
      <c r="X18" s="42"/>
      <c r="Y18" s="42"/>
      <c r="Z18" s="49"/>
      <c r="AA18" s="42"/>
      <c r="AB18" s="42"/>
      <c r="AC18" s="42"/>
      <c r="AD18" s="42"/>
      <c r="AE18" s="42"/>
      <c r="AF18" s="42"/>
      <c r="AG18" s="42"/>
      <c r="AH18" s="49">
        <v>576.50220000000002</v>
      </c>
      <c r="AI18" s="44">
        <f>AH18*0.2+0.3016+0.0005+0.0017+0.1846-0.9905*2-0.5236*2-0.2639*2-0.1495*2-0.0228*2-0.0148*2</f>
        <v>111.85864000000001</v>
      </c>
      <c r="AJ18" s="44">
        <f>AH18*0.6-0.1625*2-43.7107*2</f>
        <v>258.15492</v>
      </c>
      <c r="AK18" s="44">
        <f>AH18*0.2</f>
        <v>115.30044000000001</v>
      </c>
      <c r="AL18" s="45"/>
    </row>
    <row r="19" spans="1:38" s="55" customFormat="1" ht="26.25" customHeight="1">
      <c r="A19" s="36">
        <v>16</v>
      </c>
      <c r="B19" s="53" t="s">
        <v>29</v>
      </c>
      <c r="C19" s="38" t="s">
        <v>22</v>
      </c>
      <c r="D19" s="39" t="s">
        <v>70</v>
      </c>
      <c r="E19" s="50">
        <v>45399</v>
      </c>
      <c r="F19" s="41"/>
      <c r="G19" s="42"/>
      <c r="H19" s="42"/>
      <c r="I19" s="42"/>
      <c r="J19" s="44"/>
      <c r="K19" s="42"/>
      <c r="L19" s="43"/>
      <c r="M19" s="43"/>
      <c r="N19" s="54"/>
      <c r="O19" s="54"/>
      <c r="P19" s="54"/>
      <c r="Q19" s="54"/>
      <c r="R19" s="54"/>
      <c r="S19" s="44"/>
      <c r="T19" s="44"/>
      <c r="U19" s="44"/>
      <c r="V19" s="42">
        <v>158.76</v>
      </c>
      <c r="W19" s="42">
        <f>V19*0.2-0.072*1.1-0.04*1.1</f>
        <v>31.628799999999998</v>
      </c>
      <c r="X19" s="42">
        <f>V19*0.6-0.258*1.1+36.4528-88.2144*1.1-0.29*1.1</f>
        <v>34.070159999999973</v>
      </c>
      <c r="Y19" s="42">
        <f>V19*0.2</f>
        <v>31.751999999999999</v>
      </c>
      <c r="Z19" s="42"/>
      <c r="AA19" s="42"/>
      <c r="AB19" s="42"/>
      <c r="AC19" s="42"/>
      <c r="AD19" s="42">
        <v>19.88</v>
      </c>
      <c r="AE19" s="42">
        <f>AD19*0.2-1.7967*1.1-1.7075*1.1</f>
        <v>0.1213799999999996</v>
      </c>
      <c r="AF19" s="42">
        <f>AD19*0.6-0.3393*1.1-0.142*1.1-0.56*1.1-0.441*1.1+0.24+0.6521+0.0266+0.081+0.7722-4.0815*1.1</f>
        <v>7.5797200000000009</v>
      </c>
      <c r="AG19" s="42">
        <f>AD19*0.2</f>
        <v>3.976</v>
      </c>
      <c r="AH19" s="42"/>
      <c r="AI19" s="42"/>
      <c r="AJ19" s="42"/>
      <c r="AK19" s="42"/>
      <c r="AL19" s="45"/>
    </row>
    <row r="20" spans="1:38" s="55" customFormat="1" ht="26.25" customHeight="1">
      <c r="A20" s="36">
        <v>17</v>
      </c>
      <c r="B20" s="53" t="s">
        <v>29</v>
      </c>
      <c r="C20" s="39" t="s">
        <v>81</v>
      </c>
      <c r="D20" s="39" t="s">
        <v>70</v>
      </c>
      <c r="E20" s="39" t="s">
        <v>82</v>
      </c>
      <c r="F20" s="41"/>
      <c r="G20" s="42"/>
      <c r="H20" s="42"/>
      <c r="I20" s="42"/>
      <c r="J20" s="44"/>
      <c r="K20" s="42"/>
      <c r="L20" s="43"/>
      <c r="M20" s="43"/>
      <c r="N20" s="54"/>
      <c r="O20" s="54"/>
      <c r="P20" s="54"/>
      <c r="Q20" s="54"/>
      <c r="R20" s="54"/>
      <c r="S20" s="44"/>
      <c r="T20" s="44"/>
      <c r="U20" s="44"/>
      <c r="V20" s="42">
        <v>0.08</v>
      </c>
      <c r="W20" s="42">
        <f>V20*0.2</f>
        <v>1.6E-2</v>
      </c>
      <c r="X20" s="42">
        <f>V20*0.6</f>
        <v>4.8000000000000001E-2</v>
      </c>
      <c r="Y20" s="42">
        <f>V20*0.2</f>
        <v>1.6E-2</v>
      </c>
      <c r="Z20" s="42">
        <v>0.748</v>
      </c>
      <c r="AA20" s="42">
        <f>Z20*0.2+0.0456+0.0142+0.381-0.374*1.2</f>
        <v>0.14160000000000006</v>
      </c>
      <c r="AB20" s="42">
        <f>Z20*0.6-0.336*1.2-0.0456</f>
        <v>0</v>
      </c>
      <c r="AC20" s="42">
        <f>Z20*0.2</f>
        <v>0.14960000000000001</v>
      </c>
      <c r="AD20" s="42">
        <v>1.286</v>
      </c>
      <c r="AE20" s="42">
        <f>AD20*0.2-0.036*1.1-0.2176</f>
        <v>0</v>
      </c>
      <c r="AF20" s="42">
        <f>AD20*0.6</f>
        <v>0.77159999999999995</v>
      </c>
      <c r="AG20" s="42">
        <f>AD20*0.2</f>
        <v>0.25720000000000004</v>
      </c>
      <c r="AH20" s="42"/>
      <c r="AI20" s="42"/>
      <c r="AJ20" s="42"/>
      <c r="AK20" s="42"/>
      <c r="AL20" s="56"/>
    </row>
    <row r="21" spans="1:38" s="46" customFormat="1" ht="26.25" customHeight="1">
      <c r="A21" s="36">
        <v>18</v>
      </c>
      <c r="B21" s="53" t="s">
        <v>29</v>
      </c>
      <c r="C21" s="38" t="s">
        <v>83</v>
      </c>
      <c r="D21" s="39" t="s">
        <v>70</v>
      </c>
      <c r="E21" s="39" t="s">
        <v>84</v>
      </c>
      <c r="F21" s="41"/>
      <c r="G21" s="42"/>
      <c r="H21" s="42"/>
      <c r="I21" s="42"/>
      <c r="J21" s="44"/>
      <c r="K21" s="42"/>
      <c r="L21" s="43"/>
      <c r="M21" s="43"/>
      <c r="N21" s="54"/>
      <c r="O21" s="54"/>
      <c r="P21" s="54"/>
      <c r="Q21" s="54"/>
      <c r="R21" s="54"/>
      <c r="S21" s="44"/>
      <c r="T21" s="44"/>
      <c r="U21" s="44"/>
      <c r="V21" s="44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>
        <v>17.190000000000001</v>
      </c>
      <c r="AI21" s="42">
        <f>AH21*0.2-0.0277*2-0.0065*2-0.1227*2-0.095*2-0.014*2-0.0725*2-0.0051*2-0.0527*2-0.4597*2</f>
        <v>1.7262000000000004</v>
      </c>
      <c r="AJ21" s="42">
        <f>AH21*0.6-0.5709*2-0.741*2-0.841*2-1.813-0.164*2-0.462*2-0.3824*2-0.175*2-0.0129*2-0.027*2</f>
        <v>1.7486000000000006</v>
      </c>
      <c r="AK21" s="42">
        <f>AH21*0.2</f>
        <v>3.4380000000000006</v>
      </c>
      <c r="AL21" s="45"/>
    </row>
    <row r="22" spans="1:38" s="46" customFormat="1" ht="26.25" customHeight="1">
      <c r="A22" s="36">
        <v>19</v>
      </c>
      <c r="B22" s="48" t="s">
        <v>29</v>
      </c>
      <c r="C22" s="39" t="s">
        <v>85</v>
      </c>
      <c r="D22" s="39" t="s">
        <v>70</v>
      </c>
      <c r="E22" s="39" t="s">
        <v>84</v>
      </c>
      <c r="F22" s="41"/>
      <c r="G22" s="42"/>
      <c r="H22" s="42"/>
      <c r="I22" s="42"/>
      <c r="J22" s="44"/>
      <c r="K22" s="42"/>
      <c r="L22" s="43"/>
      <c r="M22" s="43"/>
      <c r="N22" s="54"/>
      <c r="O22" s="54"/>
      <c r="P22" s="54"/>
      <c r="Q22" s="54"/>
      <c r="R22" s="54"/>
      <c r="S22" s="44"/>
      <c r="T22" s="44"/>
      <c r="U22" s="44"/>
      <c r="V22" s="42">
        <v>0.16</v>
      </c>
      <c r="W22" s="42">
        <f>V22*0.2-0.01*1.1</f>
        <v>2.0999999999999998E-2</v>
      </c>
      <c r="X22" s="42">
        <f>V22*0.6</f>
        <v>9.6000000000000002E-2</v>
      </c>
      <c r="Y22" s="42">
        <f>V22*0.2</f>
        <v>3.2000000000000001E-2</v>
      </c>
      <c r="Z22" s="42">
        <v>0.63500000000000001</v>
      </c>
      <c r="AA22" s="42">
        <f>Z22*0.2-0.094*1.2-0.0142</f>
        <v>0</v>
      </c>
      <c r="AB22" s="42">
        <f>Z22*0.6-0.381</f>
        <v>0</v>
      </c>
      <c r="AC22" s="42">
        <f>Z22*0.2</f>
        <v>0.127</v>
      </c>
      <c r="AD22" s="42">
        <v>1.7276</v>
      </c>
      <c r="AE22" s="42">
        <f>AD22*0.2-0.269*1.1-0.0496</f>
        <v>1.9999999999999185E-5</v>
      </c>
      <c r="AF22" s="42">
        <f>AD22*0.6-0.6843*1.1</f>
        <v>0.2838299999999998</v>
      </c>
      <c r="AG22" s="42">
        <f>AD22*0.2</f>
        <v>0.34552000000000005</v>
      </c>
      <c r="AH22" s="42"/>
      <c r="AI22" s="42"/>
      <c r="AJ22" s="42"/>
      <c r="AK22" s="42"/>
      <c r="AL22" s="45"/>
    </row>
    <row r="23" spans="1:38" s="46" customFormat="1" ht="26.25" customHeight="1">
      <c r="A23" s="36">
        <v>20</v>
      </c>
      <c r="B23" s="48" t="s">
        <v>29</v>
      </c>
      <c r="C23" s="38" t="s">
        <v>86</v>
      </c>
      <c r="D23" s="39" t="s">
        <v>70</v>
      </c>
      <c r="E23" s="50">
        <v>45026</v>
      </c>
      <c r="F23" s="41"/>
      <c r="G23" s="42"/>
      <c r="H23" s="42"/>
      <c r="I23" s="42"/>
      <c r="J23" s="44"/>
      <c r="K23" s="42"/>
      <c r="L23" s="43"/>
      <c r="M23" s="43"/>
      <c r="N23" s="54"/>
      <c r="O23" s="54"/>
      <c r="P23" s="54"/>
      <c r="Q23" s="54"/>
      <c r="R23" s="54"/>
      <c r="S23" s="44"/>
      <c r="T23" s="44"/>
      <c r="U23" s="44"/>
      <c r="V23" s="42"/>
      <c r="W23" s="42"/>
      <c r="X23" s="42"/>
      <c r="Y23" s="42"/>
      <c r="Z23" s="42"/>
      <c r="AA23" s="42"/>
      <c r="AB23" s="42"/>
      <c r="AC23" s="42"/>
      <c r="AD23" s="42">
        <v>4.9614000000000003</v>
      </c>
      <c r="AE23" s="42">
        <f>AD23*0.2-0.1632*1.1-0.0858*1.1-0.0931*1.1-0.1178*1.1+0.2176+0.0496-(0.6424*1.1)-0.0394*1.1</f>
        <v>3.6099999999999327E-3</v>
      </c>
      <c r="AF23" s="42">
        <f>AD23*0.6-0.077*1.1-1.2716*1.1</f>
        <v>1.4933799999999997</v>
      </c>
      <c r="AG23" s="42">
        <f>AD23*0.2</f>
        <v>0.99228000000000005</v>
      </c>
      <c r="AH23" s="42"/>
      <c r="AI23" s="42"/>
      <c r="AJ23" s="42"/>
      <c r="AK23" s="42"/>
      <c r="AL23" s="45"/>
    </row>
    <row r="24" spans="1:38" s="46" customFormat="1" ht="26.25" customHeight="1">
      <c r="A24" s="36">
        <v>21</v>
      </c>
      <c r="B24" s="53" t="s">
        <v>15</v>
      </c>
      <c r="C24" s="38" t="s">
        <v>27</v>
      </c>
      <c r="D24" s="56" t="s">
        <v>70</v>
      </c>
      <c r="E24" s="40">
        <v>45721</v>
      </c>
      <c r="F24" s="41"/>
      <c r="G24" s="42"/>
      <c r="H24" s="42"/>
      <c r="I24" s="42"/>
      <c r="J24" s="44"/>
      <c r="K24" s="42"/>
      <c r="L24" s="43"/>
      <c r="M24" s="43"/>
      <c r="N24" s="54"/>
      <c r="O24" s="54"/>
      <c r="P24" s="54"/>
      <c r="Q24" s="54"/>
      <c r="R24" s="54"/>
      <c r="S24" s="44"/>
      <c r="T24" s="44"/>
      <c r="U24" s="44"/>
      <c r="V24" s="57">
        <v>305.86200000000002</v>
      </c>
      <c r="W24" s="58">
        <f>V24*0.2-0.18*1.1-0.06*1.1-0.264*1.1-0.024*1.1-0.026*1.1-0.02*1.1-0.0108*1.1</f>
        <v>60.529120000000013</v>
      </c>
      <c r="X24" s="58">
        <f>V24*0.6-2.71*1.1-0.462-0.004*1.1-88.2144*1.1-0.4*1.1</f>
        <v>82.59396000000001</v>
      </c>
      <c r="Y24" s="58">
        <f>V24*0.2</f>
        <v>61.17240000000001</v>
      </c>
      <c r="Z24" s="58">
        <v>349.92</v>
      </c>
      <c r="AA24" s="51">
        <f>Z24*0.2-0.561*1.2-0.4857*1.2-1.2342*1.2-0.009*1.2-0.0561*1.2-0.2244*1.2-0.243*1.2-0.187*1.2-1.87*1.2</f>
        <v>64.139520000000019</v>
      </c>
      <c r="AB24" s="51">
        <f>Z24*0.6-2.2524*1.2+181.6286+147.8977-312.8*1.2-6.173-0.0374*1.2-2.4123*1.2-152.3028</f>
        <v>-2.0000000063191692E-5</v>
      </c>
      <c r="AC24" s="58">
        <f>Z24*0.2</f>
        <v>69.984000000000009</v>
      </c>
      <c r="AD24" s="58">
        <v>48.878999999999998</v>
      </c>
      <c r="AE24" s="58">
        <f>AD24*0.2-0.2828*1.1-0.33*1.1-0.072*1.1-0.759*1.1-0.179*1.1-1.0757*1.1-0.061*1.1-0.067*1.1-0.129*1.1-0.021*1.1-0.061*1.1-0.264*1.1-0.219*1.1-0.263*1.1-0.088*1.1-0.436*1.1-0.119*1.1-2.1999*1.1-0.117*1.1-0.0288*1.1-0.031*1.1-0.3553*1.1-0.061*1.1-0.172*1.1-0.1282*1.1-0.0263*1.1-0.068*1.1-0.044*1.1-0.376*1.1-0.0128*1.1</f>
        <v>0.92432000000000103</v>
      </c>
      <c r="AF24" s="58">
        <f>AD24*0.6-1.6306*2-2.9752-0.0057*1.1-1.8464*1.1-0.079*1.1-0.178*1.1-0.572*1.1</f>
        <v>20.141789999999997</v>
      </c>
      <c r="AG24" s="58">
        <f>AD24*0.2</f>
        <v>9.7758000000000003</v>
      </c>
      <c r="AH24" s="42"/>
      <c r="AI24" s="42"/>
      <c r="AJ24" s="42"/>
      <c r="AK24" s="42"/>
      <c r="AL24" s="45"/>
    </row>
    <row r="25" spans="1:38" s="60" customFormat="1" ht="26.25" customHeight="1">
      <c r="A25" s="36">
        <v>22</v>
      </c>
      <c r="B25" s="53" t="s">
        <v>15</v>
      </c>
      <c r="C25" s="39" t="s">
        <v>87</v>
      </c>
      <c r="D25" s="56" t="s">
        <v>70</v>
      </c>
      <c r="E25" s="39" t="s">
        <v>88</v>
      </c>
      <c r="F25" s="41"/>
      <c r="G25" s="42"/>
      <c r="H25" s="42"/>
      <c r="I25" s="42"/>
      <c r="J25" s="44"/>
      <c r="K25" s="42"/>
      <c r="L25" s="43"/>
      <c r="M25" s="43"/>
      <c r="N25" s="54"/>
      <c r="O25" s="54"/>
      <c r="P25" s="54"/>
      <c r="Q25" s="54"/>
      <c r="R25" s="54"/>
      <c r="S25" s="44"/>
      <c r="T25" s="44"/>
      <c r="U25" s="44"/>
      <c r="V25" s="44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>
        <v>4.6920000000000002</v>
      </c>
      <c r="AI25" s="42">
        <f>AH25*0.2-0.072*2</f>
        <v>0.79440000000000011</v>
      </c>
      <c r="AJ25" s="42">
        <f>AH25*0.6</f>
        <v>2.8151999999999999</v>
      </c>
      <c r="AK25" s="42">
        <f>AH25*0.2</f>
        <v>0.93840000000000012</v>
      </c>
      <c r="AL25" s="59"/>
    </row>
    <row r="26" spans="1:38" s="46" customFormat="1" ht="26.25" customHeight="1">
      <c r="A26" s="36">
        <v>23</v>
      </c>
      <c r="B26" s="53" t="s">
        <v>15</v>
      </c>
      <c r="C26" s="38" t="s">
        <v>39</v>
      </c>
      <c r="D26" s="56" t="s">
        <v>70</v>
      </c>
      <c r="E26" s="39" t="s">
        <v>88</v>
      </c>
      <c r="F26" s="41"/>
      <c r="G26" s="42"/>
      <c r="H26" s="42"/>
      <c r="I26" s="42"/>
      <c r="J26" s="44"/>
      <c r="K26" s="42"/>
      <c r="L26" s="43"/>
      <c r="M26" s="43"/>
      <c r="N26" s="54"/>
      <c r="O26" s="54"/>
      <c r="P26" s="54"/>
      <c r="Q26" s="54"/>
      <c r="R26" s="54"/>
      <c r="S26" s="44"/>
      <c r="T26" s="44"/>
      <c r="U26" s="44"/>
      <c r="V26" s="44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>
        <v>5.7206999999999999</v>
      </c>
      <c r="AI26" s="42">
        <f>AH26*0.2-0.475*2-0.0342*2</f>
        <v>0.12573999999999996</v>
      </c>
      <c r="AJ26" s="42">
        <f>AH26*0.6+5.91-3.975*2</f>
        <v>1.3924200000000004</v>
      </c>
      <c r="AK26" s="42">
        <f>AH26*0.2</f>
        <v>1.1441399999999999</v>
      </c>
      <c r="AL26" s="45"/>
    </row>
    <row r="27" spans="1:38" s="46" customFormat="1" ht="26.25" customHeight="1">
      <c r="A27" s="36">
        <v>24</v>
      </c>
      <c r="B27" s="53" t="s">
        <v>15</v>
      </c>
      <c r="C27" s="39" t="s">
        <v>89</v>
      </c>
      <c r="D27" s="56" t="s">
        <v>70</v>
      </c>
      <c r="E27" s="39" t="s">
        <v>88</v>
      </c>
      <c r="F27" s="41"/>
      <c r="G27" s="42"/>
      <c r="H27" s="42"/>
      <c r="I27" s="42"/>
      <c r="J27" s="44"/>
      <c r="K27" s="42"/>
      <c r="L27" s="43"/>
      <c r="M27" s="43"/>
      <c r="N27" s="54"/>
      <c r="O27" s="54"/>
      <c r="P27" s="54"/>
      <c r="Q27" s="54"/>
      <c r="R27" s="54"/>
      <c r="S27" s="44"/>
      <c r="T27" s="44"/>
      <c r="U27" s="44"/>
      <c r="V27" s="44">
        <v>4.0000000000000001E-3</v>
      </c>
      <c r="W27" s="42">
        <f>V27*0.2</f>
        <v>8.0000000000000004E-4</v>
      </c>
      <c r="X27" s="42">
        <f>V27*0.6</f>
        <v>2.3999999999999998E-3</v>
      </c>
      <c r="Y27" s="42">
        <f>V27*0.2</f>
        <v>8.0000000000000004E-4</v>
      </c>
      <c r="Z27" s="42">
        <v>0.15870000000000001</v>
      </c>
      <c r="AA27" s="42">
        <f>Z27*0.2</f>
        <v>3.1740000000000004E-2</v>
      </c>
      <c r="AB27" s="42">
        <f>Z27*0.6</f>
        <v>9.5219999999999999E-2</v>
      </c>
      <c r="AC27" s="42">
        <f>Z27*0.2</f>
        <v>3.1740000000000004E-2</v>
      </c>
      <c r="AD27" s="42">
        <v>0.12759999999999999</v>
      </c>
      <c r="AE27" s="42">
        <f>AD27*0.2</f>
        <v>2.5520000000000001E-2</v>
      </c>
      <c r="AF27" s="42">
        <f>AD27*0.6</f>
        <v>7.6559999999999989E-2</v>
      </c>
      <c r="AG27" s="42">
        <f>AD27*0.2</f>
        <v>2.5520000000000001E-2</v>
      </c>
      <c r="AH27" s="42">
        <v>21.5198</v>
      </c>
      <c r="AI27" s="42">
        <f>AH27*0.2-0.059*2-0.025*2-0.386*2-0.072*2-0.1638*2-0.253*2-0.043*2-0.1438*2-0.137*2-0.084*2</f>
        <v>1.5707600000000002</v>
      </c>
      <c r="AJ27" s="42">
        <f>AH27*0.6-0.8503*2-3.6944*2+0.2405-0.9247*2-0.0011*2-0.085*2</f>
        <v>2.0413800000000002</v>
      </c>
      <c r="AK27" s="42">
        <f>AH27*0.2</f>
        <v>4.30396</v>
      </c>
      <c r="AL27" s="45"/>
    </row>
    <row r="28" spans="1:38" s="62" customFormat="1" ht="26.25" customHeight="1">
      <c r="A28" s="36">
        <v>25</v>
      </c>
      <c r="B28" s="53" t="s">
        <v>15</v>
      </c>
      <c r="C28" s="39" t="s">
        <v>90</v>
      </c>
      <c r="D28" s="56" t="s">
        <v>70</v>
      </c>
      <c r="E28" s="39" t="s">
        <v>88</v>
      </c>
      <c r="F28" s="41"/>
      <c r="G28" s="42"/>
      <c r="H28" s="42"/>
      <c r="I28" s="42"/>
      <c r="J28" s="44"/>
      <c r="K28" s="42"/>
      <c r="L28" s="43"/>
      <c r="M28" s="43"/>
      <c r="N28" s="54"/>
      <c r="O28" s="54"/>
      <c r="P28" s="54"/>
      <c r="Q28" s="54"/>
      <c r="R28" s="54"/>
      <c r="S28" s="44"/>
      <c r="T28" s="44"/>
      <c r="U28" s="44"/>
      <c r="V28" s="44"/>
      <c r="W28" s="42"/>
      <c r="X28" s="42"/>
      <c r="Y28" s="42"/>
      <c r="Z28" s="42"/>
      <c r="AA28" s="42"/>
      <c r="AB28" s="42"/>
      <c r="AC28" s="42"/>
      <c r="AD28" s="42">
        <v>7.6499999999999999E-2</v>
      </c>
      <c r="AE28" s="42">
        <f>AD28*0.2</f>
        <v>1.5300000000000001E-2</v>
      </c>
      <c r="AF28" s="42">
        <f>AD28*0.6</f>
        <v>4.5899999999999996E-2</v>
      </c>
      <c r="AG28" s="42">
        <f>AD28*0.2</f>
        <v>1.5300000000000001E-2</v>
      </c>
      <c r="AH28" s="42">
        <v>13.8</v>
      </c>
      <c r="AI28" s="42">
        <f>AH28*0.2</f>
        <v>2.7600000000000002</v>
      </c>
      <c r="AJ28" s="42">
        <f>AH28*0.6-1.51286*2</f>
        <v>5.2542799999999996</v>
      </c>
      <c r="AK28" s="42">
        <f>AH28*0.2</f>
        <v>2.7600000000000002</v>
      </c>
      <c r="AL28" s="61"/>
    </row>
    <row r="29" spans="1:38" s="46" customFormat="1" ht="26.25" customHeight="1">
      <c r="A29" s="36">
        <v>26</v>
      </c>
      <c r="B29" s="63" t="s">
        <v>15</v>
      </c>
      <c r="C29" s="64" t="s">
        <v>91</v>
      </c>
      <c r="D29" s="64" t="s">
        <v>70</v>
      </c>
      <c r="E29" s="50">
        <v>45033</v>
      </c>
      <c r="F29" s="65"/>
      <c r="G29" s="49"/>
      <c r="H29" s="49"/>
      <c r="I29" s="58"/>
      <c r="J29" s="57"/>
      <c r="K29" s="58"/>
      <c r="L29" s="66"/>
      <c r="M29" s="66"/>
      <c r="N29" s="67"/>
      <c r="O29" s="67"/>
      <c r="P29" s="67"/>
      <c r="Q29" s="67"/>
      <c r="R29" s="67"/>
      <c r="S29" s="57"/>
      <c r="T29" s="57"/>
      <c r="U29" s="57"/>
      <c r="V29" s="57"/>
      <c r="W29" s="58"/>
      <c r="X29" s="58"/>
      <c r="Y29" s="58"/>
      <c r="Z29" s="58"/>
      <c r="AA29" s="49"/>
      <c r="AB29" s="49"/>
      <c r="AC29" s="58"/>
      <c r="AD29" s="58">
        <v>0.58299999999999996</v>
      </c>
      <c r="AE29" s="58">
        <f>AD29*0.2</f>
        <v>0.1166</v>
      </c>
      <c r="AF29" s="58">
        <f>AD29*0.6</f>
        <v>0.34979999999999994</v>
      </c>
      <c r="AG29" s="58">
        <f>AD29*0.2</f>
        <v>0.1166</v>
      </c>
      <c r="AH29" s="58">
        <v>1.044</v>
      </c>
      <c r="AI29" s="58">
        <f>AH29*0.2</f>
        <v>0.20880000000000001</v>
      </c>
      <c r="AJ29" s="58">
        <f>AH29*0.6</f>
        <v>0.62639999999999996</v>
      </c>
      <c r="AK29" s="58">
        <f>AH29*0.2</f>
        <v>0.20880000000000001</v>
      </c>
      <c r="AL29" s="45"/>
    </row>
    <row r="30" spans="1:38" s="46" customFormat="1" ht="26.25" customHeight="1">
      <c r="A30" s="36">
        <v>27</v>
      </c>
      <c r="B30" s="68" t="s">
        <v>15</v>
      </c>
      <c r="C30" s="64" t="s">
        <v>32</v>
      </c>
      <c r="D30" s="64" t="s">
        <v>70</v>
      </c>
      <c r="E30" s="50">
        <v>45154</v>
      </c>
      <c r="F30" s="65">
        <v>68.48</v>
      </c>
      <c r="G30" s="49">
        <f>F30*0.2</f>
        <v>13.696000000000002</v>
      </c>
      <c r="H30" s="49">
        <f>F30*0.6-2.6308-1.8363-24.777*1.1-0.3759*1.2</f>
        <v>8.9151199999999964</v>
      </c>
      <c r="I30" s="58">
        <f>F30*0.2</f>
        <v>13.696000000000002</v>
      </c>
      <c r="J30" s="57">
        <v>2.1800000000000002</v>
      </c>
      <c r="K30" s="58">
        <f>J30*0.2-0.436</f>
        <v>0</v>
      </c>
      <c r="L30" s="66">
        <f>J30*0.6-0.9951-0.1104-0.2025</f>
        <v>0</v>
      </c>
      <c r="M30" s="66">
        <f>J30*0.2</f>
        <v>0.43600000000000005</v>
      </c>
      <c r="N30" s="67">
        <v>11.34</v>
      </c>
      <c r="O30" s="67">
        <f>N30*0.2-0.054-0.1221-2.0919</f>
        <v>0</v>
      </c>
      <c r="P30" s="67">
        <f>N30*0.6-1.35-0.054</f>
        <v>5.3999999999999986</v>
      </c>
      <c r="Q30" s="67">
        <f>N30*0.2</f>
        <v>2.2680000000000002</v>
      </c>
      <c r="R30" s="67">
        <v>0.63</v>
      </c>
      <c r="S30" s="57">
        <f>R30*0.2</f>
        <v>0.126</v>
      </c>
      <c r="T30" s="57">
        <f>R30*0.6-0.0605</f>
        <v>0.3175</v>
      </c>
      <c r="U30" s="57">
        <f>R30*0.2</f>
        <v>0.126</v>
      </c>
      <c r="V30" s="57"/>
      <c r="W30" s="58"/>
      <c r="X30" s="58"/>
      <c r="Y30" s="58"/>
      <c r="Z30" s="58"/>
      <c r="AA30" s="49"/>
      <c r="AB30" s="49"/>
      <c r="AC30" s="58"/>
      <c r="AD30" s="58"/>
      <c r="AE30" s="58"/>
      <c r="AF30" s="58"/>
      <c r="AG30" s="58"/>
      <c r="AH30" s="58"/>
      <c r="AI30" s="58"/>
      <c r="AJ30" s="58"/>
      <c r="AK30" s="58"/>
      <c r="AL30" s="45"/>
    </row>
    <row r="31" spans="1:38" s="46" customFormat="1" ht="26.25" customHeight="1">
      <c r="A31" s="36">
        <v>28</v>
      </c>
      <c r="B31" s="68" t="s">
        <v>15</v>
      </c>
      <c r="C31" s="69" t="s">
        <v>92</v>
      </c>
      <c r="D31" s="64" t="s">
        <v>70</v>
      </c>
      <c r="E31" s="50">
        <v>45281</v>
      </c>
      <c r="F31" s="65">
        <v>4.016</v>
      </c>
      <c r="G31" s="49">
        <f>F31*0.2</f>
        <v>0.80320000000000003</v>
      </c>
      <c r="H31" s="49">
        <f>F31*0.6</f>
        <v>2.4095999999999997</v>
      </c>
      <c r="I31" s="58">
        <f>F31*0.2</f>
        <v>0.80320000000000003</v>
      </c>
      <c r="J31" s="57">
        <v>3.1E-2</v>
      </c>
      <c r="K31" s="58">
        <f>J31*0.2-0.0062</f>
        <v>0</v>
      </c>
      <c r="L31" s="66">
        <f>J31*0.6-0.0186</f>
        <v>0</v>
      </c>
      <c r="M31" s="66">
        <f>J31*0.2</f>
        <v>6.2000000000000006E-3</v>
      </c>
      <c r="N31" s="67">
        <v>9.2999999999999999E-2</v>
      </c>
      <c r="O31" s="67">
        <f>N31*0.2-0.0186</f>
        <v>0</v>
      </c>
      <c r="P31" s="67">
        <f>N31*0.6-0.0558</f>
        <v>0</v>
      </c>
      <c r="Q31" s="67">
        <f>N31*0.2</f>
        <v>1.8600000000000002E-2</v>
      </c>
      <c r="R31" s="67">
        <v>3.0999999999999999E-3</v>
      </c>
      <c r="S31" s="57">
        <f>R31*0.2</f>
        <v>6.2E-4</v>
      </c>
      <c r="T31" s="57">
        <f>R31*0.6</f>
        <v>1.8599999999999999E-3</v>
      </c>
      <c r="U31" s="57">
        <f>R31*0.2</f>
        <v>6.2E-4</v>
      </c>
      <c r="V31" s="57"/>
      <c r="W31" s="58"/>
      <c r="X31" s="58"/>
      <c r="Y31" s="58"/>
      <c r="Z31" s="58"/>
      <c r="AA31" s="49"/>
      <c r="AB31" s="49"/>
      <c r="AC31" s="58"/>
      <c r="AD31" s="58"/>
      <c r="AE31" s="58"/>
      <c r="AF31" s="58"/>
      <c r="AG31" s="58"/>
      <c r="AH31" s="58"/>
      <c r="AI31" s="58"/>
      <c r="AJ31" s="58"/>
      <c r="AK31" s="58"/>
      <c r="AL31" s="45"/>
    </row>
    <row r="32" spans="1:38" s="46" customFormat="1" ht="26.25" customHeight="1">
      <c r="A32" s="36">
        <v>29</v>
      </c>
      <c r="B32" s="68" t="s">
        <v>15</v>
      </c>
      <c r="C32" s="69" t="s">
        <v>93</v>
      </c>
      <c r="D32" s="64" t="s">
        <v>70</v>
      </c>
      <c r="E32" s="50">
        <v>45281</v>
      </c>
      <c r="F32" s="65">
        <v>4.54</v>
      </c>
      <c r="G32" s="49">
        <f>F32*0.2</f>
        <v>0.90800000000000003</v>
      </c>
      <c r="H32" s="49">
        <f>F32*0.6</f>
        <v>2.7239999999999998</v>
      </c>
      <c r="I32" s="58">
        <f>F32*0.2</f>
        <v>0.90800000000000003</v>
      </c>
      <c r="J32" s="57">
        <v>0.51</v>
      </c>
      <c r="K32" s="58">
        <f>J32*0.2-0.102</f>
        <v>0</v>
      </c>
      <c r="L32" s="66">
        <f>J32*0.6-0.306</f>
        <v>0</v>
      </c>
      <c r="M32" s="66">
        <f>J32*0.2</f>
        <v>0.10200000000000001</v>
      </c>
      <c r="N32" s="67">
        <v>1.8540000000000001</v>
      </c>
      <c r="O32" s="67">
        <f>N32*0.2-0.3708</f>
        <v>0</v>
      </c>
      <c r="P32" s="67">
        <f>N32*0.6-1.1124</f>
        <v>0</v>
      </c>
      <c r="Q32" s="67">
        <f>N32*0.2</f>
        <v>0.37080000000000002</v>
      </c>
      <c r="R32" s="67">
        <v>0.26300000000000001</v>
      </c>
      <c r="S32" s="57">
        <f>R32*0.2</f>
        <v>5.2600000000000008E-2</v>
      </c>
      <c r="T32" s="57">
        <f>R32*0.6-0.07*1.1</f>
        <v>8.0799999999999983E-2</v>
      </c>
      <c r="U32" s="57">
        <f>R32*0.2</f>
        <v>5.2600000000000008E-2</v>
      </c>
      <c r="V32" s="57"/>
      <c r="W32" s="58"/>
      <c r="X32" s="58"/>
      <c r="Y32" s="58"/>
      <c r="Z32" s="58"/>
      <c r="AA32" s="49"/>
      <c r="AB32" s="49"/>
      <c r="AC32" s="58"/>
      <c r="AD32" s="58"/>
      <c r="AE32" s="58"/>
      <c r="AF32" s="58"/>
      <c r="AG32" s="58"/>
      <c r="AH32" s="58"/>
      <c r="AI32" s="58"/>
      <c r="AJ32" s="58"/>
      <c r="AK32" s="58"/>
      <c r="AL32" s="45"/>
    </row>
    <row r="33" spans="1:38" s="46" customFormat="1" ht="26.25" customHeight="1">
      <c r="A33" s="36">
        <v>30</v>
      </c>
      <c r="B33" s="68" t="s">
        <v>15</v>
      </c>
      <c r="C33" s="69" t="s">
        <v>93</v>
      </c>
      <c r="D33" s="64" t="s">
        <v>70</v>
      </c>
      <c r="E33" s="50">
        <v>45308</v>
      </c>
      <c r="F33" s="65"/>
      <c r="G33" s="49"/>
      <c r="H33" s="49"/>
      <c r="I33" s="58"/>
      <c r="J33" s="57"/>
      <c r="K33" s="58"/>
      <c r="L33" s="66"/>
      <c r="M33" s="66"/>
      <c r="N33" s="67"/>
      <c r="O33" s="67"/>
      <c r="P33" s="67"/>
      <c r="Q33" s="67"/>
      <c r="R33" s="67"/>
      <c r="S33" s="57"/>
      <c r="T33" s="57"/>
      <c r="U33" s="57"/>
      <c r="V33" s="57">
        <v>56.7</v>
      </c>
      <c r="W33" s="58">
        <f>V33*0.2</f>
        <v>11.340000000000002</v>
      </c>
      <c r="X33" s="58">
        <f>V33*0.6</f>
        <v>34.020000000000003</v>
      </c>
      <c r="Y33" s="58">
        <f>V33*0.2</f>
        <v>11.340000000000002</v>
      </c>
      <c r="Z33" s="58"/>
      <c r="AA33" s="49"/>
      <c r="AB33" s="49"/>
      <c r="AC33" s="58"/>
      <c r="AD33" s="58">
        <v>12.33</v>
      </c>
      <c r="AE33" s="58">
        <f>AD33*0.2</f>
        <v>2.4660000000000002</v>
      </c>
      <c r="AF33" s="58">
        <f>AD33*0.6</f>
        <v>7.3979999999999997</v>
      </c>
      <c r="AG33" s="58">
        <f>AD33*0.2</f>
        <v>2.4660000000000002</v>
      </c>
      <c r="AH33" s="58">
        <v>1.54</v>
      </c>
      <c r="AI33" s="58">
        <f>AH33*0.2</f>
        <v>0.30800000000000005</v>
      </c>
      <c r="AJ33" s="58">
        <f>AH33*0.6</f>
        <v>0.92399999999999993</v>
      </c>
      <c r="AK33" s="58">
        <f>AH33*0.2</f>
        <v>0.30800000000000005</v>
      </c>
      <c r="AL33" s="45"/>
    </row>
    <row r="34" spans="1:38" s="46" customFormat="1" ht="26.25" customHeight="1">
      <c r="A34" s="36">
        <v>31</v>
      </c>
      <c r="B34" s="68" t="s">
        <v>15</v>
      </c>
      <c r="C34" s="69" t="s">
        <v>92</v>
      </c>
      <c r="D34" s="64" t="s">
        <v>70</v>
      </c>
      <c r="E34" s="50">
        <v>45308</v>
      </c>
      <c r="F34" s="65"/>
      <c r="G34" s="49"/>
      <c r="H34" s="49"/>
      <c r="I34" s="58"/>
      <c r="J34" s="57"/>
      <c r="K34" s="58"/>
      <c r="L34" s="66"/>
      <c r="M34" s="66"/>
      <c r="N34" s="67"/>
      <c r="O34" s="67"/>
      <c r="P34" s="67"/>
      <c r="Q34" s="67"/>
      <c r="R34" s="67"/>
      <c r="S34" s="57"/>
      <c r="T34" s="57"/>
      <c r="U34" s="57"/>
      <c r="V34" s="57">
        <v>4.5999999999999999E-2</v>
      </c>
      <c r="W34" s="58">
        <f>V34*0.2</f>
        <v>9.1999999999999998E-3</v>
      </c>
      <c r="X34" s="58">
        <f>V34*0.6</f>
        <v>2.76E-2</v>
      </c>
      <c r="Y34" s="58">
        <f>V34*0.2</f>
        <v>9.1999999999999998E-3</v>
      </c>
      <c r="Z34" s="58">
        <v>2.2440000000000002</v>
      </c>
      <c r="AA34" s="49">
        <f>Z34*0.2</f>
        <v>0.44880000000000009</v>
      </c>
      <c r="AB34" s="49">
        <f>Z34*0.6</f>
        <v>1.3464</v>
      </c>
      <c r="AC34" s="58">
        <f>Z34*0.2</f>
        <v>0.44880000000000009</v>
      </c>
      <c r="AD34" s="58">
        <v>8.0511999999999997</v>
      </c>
      <c r="AE34" s="58">
        <f>AD34*0.2</f>
        <v>1.6102400000000001</v>
      </c>
      <c r="AF34" s="58">
        <f>AD34*0.6</f>
        <v>4.8307199999999995</v>
      </c>
      <c r="AG34" s="58">
        <f>AD34*0.2</f>
        <v>1.6102400000000001</v>
      </c>
      <c r="AH34" s="58">
        <v>1.891</v>
      </c>
      <c r="AI34" s="58">
        <f>AH34*0.2</f>
        <v>0.37820000000000004</v>
      </c>
      <c r="AJ34" s="58">
        <f>AH34*0.6</f>
        <v>1.1346000000000001</v>
      </c>
      <c r="AK34" s="58">
        <f>AH34*0.2</f>
        <v>0.37820000000000004</v>
      </c>
      <c r="AL34" s="45"/>
    </row>
    <row r="35" spans="1:38" s="46" customFormat="1" ht="26.25" customHeight="1">
      <c r="A35" s="36">
        <v>32</v>
      </c>
      <c r="B35" s="68" t="s">
        <v>15</v>
      </c>
      <c r="C35" s="69" t="s">
        <v>32</v>
      </c>
      <c r="D35" s="64" t="s">
        <v>70</v>
      </c>
      <c r="E35" s="50">
        <v>45316</v>
      </c>
      <c r="F35" s="65"/>
      <c r="G35" s="49"/>
      <c r="H35" s="49"/>
      <c r="I35" s="58"/>
      <c r="J35" s="57"/>
      <c r="K35" s="58"/>
      <c r="L35" s="66"/>
      <c r="M35" s="66"/>
      <c r="N35" s="67"/>
      <c r="O35" s="67"/>
      <c r="P35" s="67"/>
      <c r="Q35" s="67"/>
      <c r="R35" s="67"/>
      <c r="S35" s="57"/>
      <c r="T35" s="57"/>
      <c r="U35" s="57"/>
      <c r="V35" s="57">
        <v>34.020000000000003</v>
      </c>
      <c r="W35" s="58">
        <f>V35*0.2</f>
        <v>6.8040000000000012</v>
      </c>
      <c r="X35" s="58">
        <f>V35*0.6</f>
        <v>20.412000000000003</v>
      </c>
      <c r="Y35" s="58">
        <f>V35*0.2</f>
        <v>6.8040000000000012</v>
      </c>
      <c r="Z35" s="58"/>
      <c r="AA35" s="49"/>
      <c r="AB35" s="49"/>
      <c r="AC35" s="58"/>
      <c r="AD35" s="58">
        <v>9.9109999999999996</v>
      </c>
      <c r="AE35" s="58">
        <f>AD35*0.2</f>
        <v>1.9822</v>
      </c>
      <c r="AF35" s="58">
        <f>AD35*0.6</f>
        <v>5.9465999999999992</v>
      </c>
      <c r="AG35" s="58">
        <f>AD35*0.2</f>
        <v>1.9822</v>
      </c>
      <c r="AH35" s="58"/>
      <c r="AI35" s="58"/>
      <c r="AJ35" s="58"/>
      <c r="AK35" s="58"/>
      <c r="AL35" s="45"/>
    </row>
    <row r="36" spans="1:38" s="46" customFormat="1" ht="26.25" customHeight="1">
      <c r="A36" s="36">
        <v>33</v>
      </c>
      <c r="B36" s="68" t="s">
        <v>15</v>
      </c>
      <c r="C36" s="69" t="s">
        <v>94</v>
      </c>
      <c r="D36" s="64" t="s">
        <v>70</v>
      </c>
      <c r="E36" s="50">
        <v>45343</v>
      </c>
      <c r="F36" s="65"/>
      <c r="G36" s="49"/>
      <c r="H36" s="49"/>
      <c r="I36" s="58"/>
      <c r="J36" s="57"/>
      <c r="K36" s="58"/>
      <c r="L36" s="66"/>
      <c r="M36" s="66"/>
      <c r="N36" s="67"/>
      <c r="O36" s="67"/>
      <c r="P36" s="67"/>
      <c r="Q36" s="67"/>
      <c r="R36" s="67"/>
      <c r="S36" s="57"/>
      <c r="T36" s="57"/>
      <c r="U36" s="57"/>
      <c r="V36" s="57">
        <v>3.2000000000000002E-3</v>
      </c>
      <c r="W36" s="58">
        <f>V36*0.2</f>
        <v>6.4000000000000005E-4</v>
      </c>
      <c r="X36" s="58">
        <f>V36*0.6</f>
        <v>1.92E-3</v>
      </c>
      <c r="Y36" s="58">
        <f>V36*0.2</f>
        <v>6.4000000000000005E-4</v>
      </c>
      <c r="Z36" s="58">
        <v>0.374</v>
      </c>
      <c r="AA36" s="49">
        <f>Z36*0.2</f>
        <v>7.4800000000000005E-2</v>
      </c>
      <c r="AB36" s="49">
        <f>Z36*0.6</f>
        <v>0.22439999999999999</v>
      </c>
      <c r="AC36" s="58">
        <f>Z36*0.2</f>
        <v>7.4800000000000005E-2</v>
      </c>
      <c r="AD36" s="58">
        <v>5.7200000000000001E-2</v>
      </c>
      <c r="AE36" s="58">
        <f>AD36*0.2</f>
        <v>1.1440000000000001E-2</v>
      </c>
      <c r="AF36" s="58">
        <f>AD36*0.6</f>
        <v>3.4319999999999996E-2</v>
      </c>
      <c r="AG36" s="58">
        <f>AD36*0.2</f>
        <v>1.1440000000000001E-2</v>
      </c>
      <c r="AH36" s="58">
        <v>15.6</v>
      </c>
      <c r="AI36" s="58">
        <f>AH36*0.2</f>
        <v>3.12</v>
      </c>
      <c r="AJ36" s="58">
        <f>AH36*0.6</f>
        <v>9.36</v>
      </c>
      <c r="AK36" s="58">
        <f>AH36*0.2</f>
        <v>3.12</v>
      </c>
      <c r="AL36" s="45"/>
    </row>
    <row r="37" spans="1:38" s="46" customFormat="1" ht="26.25" customHeight="1">
      <c r="A37" s="36">
        <v>34</v>
      </c>
      <c r="B37" s="68" t="s">
        <v>15</v>
      </c>
      <c r="C37" s="69" t="s">
        <v>95</v>
      </c>
      <c r="D37" s="64"/>
      <c r="E37" s="50"/>
      <c r="F37" s="65"/>
      <c r="G37" s="49"/>
      <c r="H37" s="49"/>
      <c r="I37" s="58"/>
      <c r="J37" s="57"/>
      <c r="K37" s="58"/>
      <c r="L37" s="66"/>
      <c r="M37" s="66"/>
      <c r="N37" s="67"/>
      <c r="O37" s="67"/>
      <c r="P37" s="67"/>
      <c r="Q37" s="67"/>
      <c r="R37" s="67"/>
      <c r="S37" s="57"/>
      <c r="T37" s="57"/>
      <c r="U37" s="57"/>
      <c r="V37" s="57"/>
      <c r="W37" s="58"/>
      <c r="X37" s="58"/>
      <c r="Y37" s="58"/>
      <c r="Z37" s="58"/>
      <c r="AA37" s="49"/>
      <c r="AB37" s="49"/>
      <c r="AC37" s="58"/>
      <c r="AD37" s="58"/>
      <c r="AE37" s="58"/>
      <c r="AF37" s="58"/>
      <c r="AG37" s="58"/>
      <c r="AH37" s="58"/>
      <c r="AI37" s="58"/>
      <c r="AJ37" s="58">
        <v>12</v>
      </c>
      <c r="AK37" s="58"/>
      <c r="AL37" s="45"/>
    </row>
    <row r="38" spans="1:38" s="55" customFormat="1" ht="26.25" customHeight="1">
      <c r="A38" s="36">
        <v>35</v>
      </c>
      <c r="B38" s="68" t="s">
        <v>15</v>
      </c>
      <c r="C38" s="69" t="s">
        <v>96</v>
      </c>
      <c r="D38" s="64" t="s">
        <v>70</v>
      </c>
      <c r="E38" s="50">
        <v>45512</v>
      </c>
      <c r="F38" s="65"/>
      <c r="G38" s="49"/>
      <c r="H38" s="49"/>
      <c r="I38" s="58"/>
      <c r="J38" s="57"/>
      <c r="K38" s="58"/>
      <c r="L38" s="66"/>
      <c r="M38" s="66"/>
      <c r="N38" s="67"/>
      <c r="O38" s="67"/>
      <c r="P38" s="67"/>
      <c r="Q38" s="67"/>
      <c r="R38" s="67"/>
      <c r="S38" s="57"/>
      <c r="T38" s="57"/>
      <c r="U38" s="57"/>
      <c r="V38" s="57"/>
      <c r="W38" s="58"/>
      <c r="X38" s="58"/>
      <c r="Y38" s="58"/>
      <c r="Z38" s="58"/>
      <c r="AA38" s="49"/>
      <c r="AB38" s="49"/>
      <c r="AC38" s="58"/>
      <c r="AD38" s="58">
        <v>9.1800000000000007E-2</v>
      </c>
      <c r="AE38" s="58">
        <f>AD38*0.2</f>
        <v>1.8360000000000001E-2</v>
      </c>
      <c r="AF38" s="58">
        <f>AD38*0.6</f>
        <v>5.5080000000000004E-2</v>
      </c>
      <c r="AG38" s="58">
        <f>AD38*0.2</f>
        <v>1.8360000000000001E-2</v>
      </c>
      <c r="AH38" s="58">
        <v>17.101500000000001</v>
      </c>
      <c r="AI38" s="58">
        <f>AH38*0.2</f>
        <v>3.4203000000000006</v>
      </c>
      <c r="AJ38" s="58">
        <f>AH38*0.6</f>
        <v>10.260900000000001</v>
      </c>
      <c r="AK38" s="58">
        <f t="shared" ref="AK38:AK55" si="0">AH38*0.2</f>
        <v>3.4203000000000006</v>
      </c>
      <c r="AL38" s="45"/>
    </row>
    <row r="39" spans="1:38" s="55" customFormat="1" ht="26.25" customHeight="1">
      <c r="A39" s="36">
        <v>36</v>
      </c>
      <c r="B39" s="68" t="s">
        <v>15</v>
      </c>
      <c r="C39" s="69" t="s">
        <v>97</v>
      </c>
      <c r="D39" s="64" t="s">
        <v>70</v>
      </c>
      <c r="E39" s="50">
        <v>45910</v>
      </c>
      <c r="F39" s="65"/>
      <c r="G39" s="49"/>
      <c r="H39" s="49"/>
      <c r="I39" s="58"/>
      <c r="J39" s="57"/>
      <c r="K39" s="58"/>
      <c r="L39" s="66"/>
      <c r="M39" s="66"/>
      <c r="N39" s="67"/>
      <c r="O39" s="67"/>
      <c r="P39" s="67"/>
      <c r="Q39" s="67"/>
      <c r="R39" s="67"/>
      <c r="S39" s="57"/>
      <c r="T39" s="57"/>
      <c r="U39" s="57"/>
      <c r="V39" s="57"/>
      <c r="W39" s="58"/>
      <c r="X39" s="58"/>
      <c r="Y39" s="58"/>
      <c r="Z39" s="58"/>
      <c r="AA39" s="49"/>
      <c r="AB39" s="49"/>
      <c r="AC39" s="58"/>
      <c r="AD39" s="58"/>
      <c r="AE39" s="58"/>
      <c r="AF39" s="58"/>
      <c r="AG39" s="58"/>
      <c r="AH39" s="49">
        <v>0.36280000000000001</v>
      </c>
      <c r="AI39" s="58">
        <f>AH39*0.2</f>
        <v>7.2559999999999999E-2</v>
      </c>
      <c r="AJ39" s="58">
        <f>AH39*0.6</f>
        <v>0.21768000000000001</v>
      </c>
      <c r="AK39" s="58">
        <f t="shared" si="0"/>
        <v>7.2559999999999999E-2</v>
      </c>
      <c r="AL39" s="45"/>
    </row>
    <row r="40" spans="1:38" s="55" customFormat="1" ht="26.25" customHeight="1">
      <c r="A40" s="36">
        <v>37</v>
      </c>
      <c r="B40" s="68" t="s">
        <v>15</v>
      </c>
      <c r="C40" s="69" t="s">
        <v>87</v>
      </c>
      <c r="D40" s="64" t="s">
        <v>70</v>
      </c>
      <c r="E40" s="50">
        <v>45910</v>
      </c>
      <c r="F40" s="65"/>
      <c r="G40" s="49"/>
      <c r="H40" s="49"/>
      <c r="I40" s="58"/>
      <c r="J40" s="57"/>
      <c r="K40" s="58"/>
      <c r="L40" s="66"/>
      <c r="M40" s="66"/>
      <c r="N40" s="67"/>
      <c r="O40" s="67"/>
      <c r="P40" s="67"/>
      <c r="Q40" s="67"/>
      <c r="R40" s="67"/>
      <c r="S40" s="57"/>
      <c r="T40" s="57"/>
      <c r="U40" s="57"/>
      <c r="V40" s="70">
        <v>1.6799999999999999E-2</v>
      </c>
      <c r="W40" s="58">
        <f>V40*0.2</f>
        <v>3.3600000000000001E-3</v>
      </c>
      <c r="X40" s="58">
        <f>V40*0.6</f>
        <v>1.0079999999999999E-2</v>
      </c>
      <c r="Y40" s="58">
        <f>V40*0.2</f>
        <v>3.3600000000000001E-3</v>
      </c>
      <c r="Z40" s="49">
        <v>0.15709999999999999</v>
      </c>
      <c r="AA40" s="49">
        <f>Z40*0.2</f>
        <v>3.1419999999999997E-2</v>
      </c>
      <c r="AB40" s="49">
        <f>Z40*0.6</f>
        <v>9.4259999999999997E-2</v>
      </c>
      <c r="AC40" s="58">
        <f>Z40*0.2</f>
        <v>3.1419999999999997E-2</v>
      </c>
      <c r="AD40" s="51">
        <v>1.9319999999999999</v>
      </c>
      <c r="AE40" s="58">
        <f>AD40*0.2</f>
        <v>0.38640000000000002</v>
      </c>
      <c r="AF40" s="58">
        <f>AD40*0.6</f>
        <v>1.1592</v>
      </c>
      <c r="AG40" s="58">
        <f>AD40*0.2</f>
        <v>0.38640000000000002</v>
      </c>
      <c r="AH40" s="49">
        <v>3.9575999999999998</v>
      </c>
      <c r="AI40" s="58">
        <f>AH40*0.2</f>
        <v>0.79152</v>
      </c>
      <c r="AJ40" s="58">
        <f>AH40*0.6</f>
        <v>2.3745599999999998</v>
      </c>
      <c r="AK40" s="58">
        <f t="shared" si="0"/>
        <v>0.79152</v>
      </c>
      <c r="AL40" s="45"/>
    </row>
    <row r="41" spans="1:38" s="55" customFormat="1" ht="26.25" customHeight="1">
      <c r="A41" s="36">
        <v>38</v>
      </c>
      <c r="B41" s="68" t="s">
        <v>15</v>
      </c>
      <c r="C41" s="69" t="s">
        <v>98</v>
      </c>
      <c r="D41" s="64" t="s">
        <v>70</v>
      </c>
      <c r="E41" s="50">
        <v>45910</v>
      </c>
      <c r="F41" s="65"/>
      <c r="G41" s="49"/>
      <c r="H41" s="49"/>
      <c r="I41" s="58"/>
      <c r="J41" s="57"/>
      <c r="K41" s="58"/>
      <c r="L41" s="66"/>
      <c r="M41" s="66"/>
      <c r="N41" s="67"/>
      <c r="O41" s="67"/>
      <c r="P41" s="67"/>
      <c r="Q41" s="67"/>
      <c r="R41" s="67"/>
      <c r="S41" s="57"/>
      <c r="T41" s="57"/>
      <c r="U41" s="57"/>
      <c r="V41" s="57"/>
      <c r="W41" s="58"/>
      <c r="X41" s="58"/>
      <c r="Y41" s="58"/>
      <c r="Z41" s="58"/>
      <c r="AA41" s="49"/>
      <c r="AB41" s="49"/>
      <c r="AC41" s="58"/>
      <c r="AD41" s="58"/>
      <c r="AE41" s="58"/>
      <c r="AF41" s="58"/>
      <c r="AG41" s="58"/>
      <c r="AH41" s="49">
        <v>4.3090000000000002</v>
      </c>
      <c r="AI41" s="58">
        <f>AH41*0.2</f>
        <v>0.86180000000000012</v>
      </c>
      <c r="AJ41" s="58">
        <f>AH41*0.6</f>
        <v>2.5853999999999999</v>
      </c>
      <c r="AK41" s="58">
        <f t="shared" si="0"/>
        <v>0.86180000000000012</v>
      </c>
      <c r="AL41" s="45"/>
    </row>
    <row r="42" spans="1:38" s="1" customFormat="1" ht="26.25" customHeight="1">
      <c r="A42" s="36">
        <v>39</v>
      </c>
      <c r="B42" s="37" t="s">
        <v>99</v>
      </c>
      <c r="C42" s="38" t="s">
        <v>48</v>
      </c>
      <c r="D42" s="39" t="s">
        <v>70</v>
      </c>
      <c r="E42" s="40">
        <v>45264</v>
      </c>
      <c r="F42" s="41"/>
      <c r="G42" s="42"/>
      <c r="H42" s="42"/>
      <c r="I42" s="42"/>
      <c r="J42" s="42"/>
      <c r="K42" s="42"/>
      <c r="L42" s="43"/>
      <c r="M42" s="43"/>
      <c r="N42" s="43"/>
      <c r="O42" s="43"/>
      <c r="P42" s="43"/>
      <c r="Q42" s="43"/>
      <c r="R42" s="43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>
        <v>4.1849999999999996</v>
      </c>
      <c r="AI42" s="44">
        <f>AH42*0.2-0.1087*2-0.152*2</f>
        <v>0.31559999999999994</v>
      </c>
      <c r="AJ42" s="44">
        <f>AH42*0.6-2.511</f>
        <v>0</v>
      </c>
      <c r="AK42" s="44">
        <f t="shared" si="0"/>
        <v>0.83699999999999997</v>
      </c>
      <c r="AL42" s="45"/>
    </row>
    <row r="43" spans="1:38" s="1" customFormat="1" ht="26.25" customHeight="1">
      <c r="A43" s="36">
        <v>40</v>
      </c>
      <c r="B43" s="37" t="s">
        <v>99</v>
      </c>
      <c r="C43" s="38" t="s">
        <v>100</v>
      </c>
      <c r="D43" s="39" t="s">
        <v>70</v>
      </c>
      <c r="E43" s="40">
        <v>45264</v>
      </c>
      <c r="F43" s="41"/>
      <c r="G43" s="42"/>
      <c r="H43" s="42"/>
      <c r="I43" s="42"/>
      <c r="J43" s="42"/>
      <c r="K43" s="42"/>
      <c r="L43" s="43"/>
      <c r="M43" s="43"/>
      <c r="N43" s="43"/>
      <c r="O43" s="43"/>
      <c r="P43" s="43"/>
      <c r="Q43" s="43"/>
      <c r="R43" s="43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>
        <v>5.5010000000000003</v>
      </c>
      <c r="AI43" s="44">
        <f>AH43*0.2-0.3598*2</f>
        <v>0.38060000000000005</v>
      </c>
      <c r="AJ43" s="44">
        <f>AH43*0.6-3.3006</f>
        <v>0</v>
      </c>
      <c r="AK43" s="44">
        <f t="shared" si="0"/>
        <v>1.1002000000000001</v>
      </c>
      <c r="AL43" s="45"/>
    </row>
    <row r="44" spans="1:38" s="1" customFormat="1" ht="26.25" customHeight="1">
      <c r="A44" s="36">
        <v>41</v>
      </c>
      <c r="B44" s="37" t="s">
        <v>99</v>
      </c>
      <c r="C44" s="38" t="s">
        <v>101</v>
      </c>
      <c r="D44" s="39" t="s">
        <v>70</v>
      </c>
      <c r="E44" s="40">
        <v>45264</v>
      </c>
      <c r="F44" s="41"/>
      <c r="G44" s="42"/>
      <c r="H44" s="42"/>
      <c r="I44" s="42"/>
      <c r="J44" s="42"/>
      <c r="K44" s="42"/>
      <c r="L44" s="43"/>
      <c r="M44" s="43"/>
      <c r="N44" s="43"/>
      <c r="O44" s="43"/>
      <c r="P44" s="43"/>
      <c r="Q44" s="43"/>
      <c r="R44" s="43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>
        <v>5.3810000000000002</v>
      </c>
      <c r="AI44" s="44">
        <f>AH44*0.2</f>
        <v>1.0762</v>
      </c>
      <c r="AJ44" s="44">
        <f>AH44*0.6-3.2286</f>
        <v>0</v>
      </c>
      <c r="AK44" s="44">
        <f t="shared" si="0"/>
        <v>1.0762</v>
      </c>
      <c r="AL44" s="45"/>
    </row>
    <row r="45" spans="1:38" s="1" customFormat="1" ht="26.25" customHeight="1">
      <c r="A45" s="36">
        <v>42</v>
      </c>
      <c r="B45" s="37" t="s">
        <v>99</v>
      </c>
      <c r="C45" s="38" t="s">
        <v>102</v>
      </c>
      <c r="D45" s="39" t="s">
        <v>70</v>
      </c>
      <c r="E45" s="40">
        <v>45264</v>
      </c>
      <c r="F45" s="41"/>
      <c r="G45" s="42"/>
      <c r="H45" s="42"/>
      <c r="I45" s="42"/>
      <c r="J45" s="42"/>
      <c r="K45" s="42"/>
      <c r="L45" s="43"/>
      <c r="M45" s="43"/>
      <c r="N45" s="43"/>
      <c r="O45" s="43"/>
      <c r="P45" s="43"/>
      <c r="Q45" s="43"/>
      <c r="R45" s="43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>
        <v>1.478</v>
      </c>
      <c r="AE45" s="42">
        <f>AD45*0.2-0.0043*1.1-0.0726*1.1-0.089*1.1</f>
        <v>0.11311000000000003</v>
      </c>
      <c r="AF45" s="42">
        <f>AD45*0.6-0.2891*1.1</f>
        <v>0.56878999999999991</v>
      </c>
      <c r="AG45" s="42">
        <f>AD45*0.2</f>
        <v>0.29560000000000003</v>
      </c>
      <c r="AH45" s="42">
        <v>5.74</v>
      </c>
      <c r="AI45" s="44">
        <f>AH45*0.2</f>
        <v>1.1480000000000001</v>
      </c>
      <c r="AJ45" s="44">
        <f>AH45*0.6-3.444</f>
        <v>0</v>
      </c>
      <c r="AK45" s="44">
        <f t="shared" si="0"/>
        <v>1.1480000000000001</v>
      </c>
      <c r="AL45" s="45"/>
    </row>
    <row r="46" spans="1:38" s="1" customFormat="1" ht="26.25" customHeight="1">
      <c r="A46" s="36">
        <v>43</v>
      </c>
      <c r="B46" s="37" t="s">
        <v>99</v>
      </c>
      <c r="C46" s="38" t="s">
        <v>103</v>
      </c>
      <c r="D46" s="39" t="s">
        <v>70</v>
      </c>
      <c r="E46" s="40">
        <v>45264</v>
      </c>
      <c r="F46" s="41"/>
      <c r="G46" s="42"/>
      <c r="H46" s="42"/>
      <c r="I46" s="42"/>
      <c r="J46" s="42"/>
      <c r="K46" s="42"/>
      <c r="L46" s="43"/>
      <c r="M46" s="43"/>
      <c r="N46" s="43"/>
      <c r="O46" s="43"/>
      <c r="P46" s="43"/>
      <c r="Q46" s="43"/>
      <c r="R46" s="43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>
        <v>4.7830000000000004</v>
      </c>
      <c r="AI46" s="44">
        <f>AH46*0.2-0.4655*2-0.012*2</f>
        <v>1.6000000000000666E-3</v>
      </c>
      <c r="AJ46" s="44">
        <f>AH46*0.6-2.8698</f>
        <v>0</v>
      </c>
      <c r="AK46" s="44">
        <f t="shared" si="0"/>
        <v>0.95660000000000012</v>
      </c>
      <c r="AL46" s="45"/>
    </row>
    <row r="47" spans="1:38" s="1" customFormat="1" ht="26.25" customHeight="1">
      <c r="A47" s="36">
        <v>44</v>
      </c>
      <c r="B47" s="37" t="s">
        <v>99</v>
      </c>
      <c r="C47" s="38" t="s">
        <v>104</v>
      </c>
      <c r="D47" s="38" t="s">
        <v>70</v>
      </c>
      <c r="E47" s="71">
        <v>45267</v>
      </c>
      <c r="F47" s="72"/>
      <c r="G47" s="73"/>
      <c r="H47" s="73"/>
      <c r="I47" s="73"/>
      <c r="J47" s="73"/>
      <c r="K47" s="73"/>
      <c r="L47" s="74"/>
      <c r="M47" s="74"/>
      <c r="N47" s="74"/>
      <c r="O47" s="74"/>
      <c r="P47" s="74"/>
      <c r="Q47" s="74"/>
      <c r="R47" s="74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>
        <v>53.19</v>
      </c>
      <c r="AI47" s="75">
        <f>AH47*0.2-0.7161*2-0.115*2-0.241*2-2.466*2</f>
        <v>3.5617999999999999</v>
      </c>
      <c r="AJ47" s="75">
        <f>AH47*0.6-31.914</f>
        <v>0</v>
      </c>
      <c r="AK47" s="75">
        <f t="shared" si="0"/>
        <v>10.638</v>
      </c>
      <c r="AL47" s="45"/>
    </row>
    <row r="48" spans="1:38" s="1" customFormat="1" ht="26.25" customHeight="1">
      <c r="A48" s="36">
        <v>45</v>
      </c>
      <c r="B48" s="37" t="s">
        <v>99</v>
      </c>
      <c r="C48" s="38" t="s">
        <v>105</v>
      </c>
      <c r="D48" s="38" t="s">
        <v>70</v>
      </c>
      <c r="E48" s="71">
        <v>45281</v>
      </c>
      <c r="F48" s="72"/>
      <c r="G48" s="73"/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>
        <v>3.5870000000000002</v>
      </c>
      <c r="AI48" s="75">
        <f>AH48*0.2-0.063*2</f>
        <v>0.59140000000000004</v>
      </c>
      <c r="AJ48" s="75">
        <f>AH48*0.6-2.1522</f>
        <v>0</v>
      </c>
      <c r="AK48" s="75">
        <f t="shared" si="0"/>
        <v>0.71740000000000004</v>
      </c>
      <c r="AL48" s="45"/>
    </row>
    <row r="49" spans="1:38" s="46" customFormat="1" ht="26.25" customHeight="1">
      <c r="A49" s="36">
        <v>46</v>
      </c>
      <c r="B49" s="37" t="s">
        <v>99</v>
      </c>
      <c r="C49" s="38" t="s">
        <v>106</v>
      </c>
      <c r="D49" s="38" t="s">
        <v>70</v>
      </c>
      <c r="E49" s="71">
        <v>45281</v>
      </c>
      <c r="F49" s="72"/>
      <c r="G49" s="73"/>
      <c r="H49" s="73"/>
      <c r="I49" s="73"/>
      <c r="J49" s="73"/>
      <c r="K49" s="73"/>
      <c r="L49" s="74"/>
      <c r="M49" s="74"/>
      <c r="N49" s="74"/>
      <c r="O49" s="74"/>
      <c r="P49" s="74"/>
      <c r="Q49" s="74"/>
      <c r="R49" s="74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>
        <v>4.1909999999999998</v>
      </c>
      <c r="AI49" s="75">
        <f>AH49*0.2-0.3567*2</f>
        <v>0.12480000000000002</v>
      </c>
      <c r="AJ49" s="75">
        <f>AH49*0.6-2.5146</f>
        <v>0</v>
      </c>
      <c r="AK49" s="75">
        <f t="shared" si="0"/>
        <v>0.83820000000000006</v>
      </c>
      <c r="AL49" s="45"/>
    </row>
    <row r="50" spans="1:38" s="46" customFormat="1" ht="26.25" customHeight="1">
      <c r="A50" s="36">
        <v>47</v>
      </c>
      <c r="B50" s="37" t="s">
        <v>99</v>
      </c>
      <c r="C50" s="38" t="s">
        <v>107</v>
      </c>
      <c r="D50" s="38" t="s">
        <v>70</v>
      </c>
      <c r="E50" s="71">
        <v>45281</v>
      </c>
      <c r="F50" s="72"/>
      <c r="G50" s="73"/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>
        <v>4.7830000000000004</v>
      </c>
      <c r="AI50" s="75">
        <f>AH50*0.2</f>
        <v>0.95660000000000012</v>
      </c>
      <c r="AJ50" s="75">
        <f>AH50*0.6+2.551+3.3006+3.2286+3.444+2.8698+31.914+2.1522+2.5146-49-0.5883*2</f>
        <v>4.6680000000000064</v>
      </c>
      <c r="AK50" s="75">
        <f t="shared" si="0"/>
        <v>0.95660000000000012</v>
      </c>
      <c r="AL50" s="45"/>
    </row>
    <row r="51" spans="1:38" s="46" customFormat="1" ht="26.25" customHeight="1">
      <c r="A51" s="36">
        <v>48</v>
      </c>
      <c r="B51" s="37" t="s">
        <v>99</v>
      </c>
      <c r="C51" s="38" t="s">
        <v>28</v>
      </c>
      <c r="D51" s="38" t="s">
        <v>70</v>
      </c>
      <c r="E51" s="71">
        <v>45313</v>
      </c>
      <c r="F51" s="72"/>
      <c r="G51" s="73"/>
      <c r="H51" s="73"/>
      <c r="I51" s="73"/>
      <c r="J51" s="73"/>
      <c r="K51" s="73"/>
      <c r="L51" s="74"/>
      <c r="M51" s="74"/>
      <c r="N51" s="74"/>
      <c r="O51" s="74"/>
      <c r="P51" s="74"/>
      <c r="Q51" s="74"/>
      <c r="R51" s="74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>
        <v>47.871000000000002</v>
      </c>
      <c r="AI51" s="75">
        <f>AH51*0.2-0.494*2-1.222*2-0.1564*2-0.6409*2-0.4178*2</f>
        <v>3.7120000000000011</v>
      </c>
      <c r="AJ51" s="75">
        <f>AH51*0.6-9.327*2-0.207*2</f>
        <v>9.6546000000000003</v>
      </c>
      <c r="AK51" s="75">
        <f t="shared" si="0"/>
        <v>9.5742000000000012</v>
      </c>
      <c r="AL51" s="45"/>
    </row>
    <row r="52" spans="1:38" s="46" customFormat="1" ht="26.25" customHeight="1">
      <c r="A52" s="36">
        <v>49</v>
      </c>
      <c r="B52" s="37" t="s">
        <v>99</v>
      </c>
      <c r="C52" s="38" t="s">
        <v>108</v>
      </c>
      <c r="D52" s="38" t="s">
        <v>70</v>
      </c>
      <c r="E52" s="71">
        <v>45340</v>
      </c>
      <c r="F52" s="72"/>
      <c r="G52" s="73"/>
      <c r="H52" s="73"/>
      <c r="I52" s="73"/>
      <c r="J52" s="73"/>
      <c r="K52" s="73"/>
      <c r="L52" s="74"/>
      <c r="M52" s="74"/>
      <c r="N52" s="74"/>
      <c r="O52" s="74"/>
      <c r="P52" s="74"/>
      <c r="Q52" s="74"/>
      <c r="R52" s="74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>
        <v>0.06</v>
      </c>
      <c r="AE52" s="73">
        <f>AD52*0.2</f>
        <v>1.2E-2</v>
      </c>
      <c r="AF52" s="73">
        <f>AD52*0.6</f>
        <v>3.5999999999999997E-2</v>
      </c>
      <c r="AG52" s="73">
        <f>AD52*0.2</f>
        <v>1.2E-2</v>
      </c>
      <c r="AH52" s="73">
        <v>4.9000000000000004</v>
      </c>
      <c r="AI52" s="75">
        <f>AH52*0.2</f>
        <v>0.98000000000000009</v>
      </c>
      <c r="AJ52" s="75">
        <f>AH52*0.6</f>
        <v>2.94</v>
      </c>
      <c r="AK52" s="75">
        <f t="shared" si="0"/>
        <v>0.98000000000000009</v>
      </c>
      <c r="AL52" s="45"/>
    </row>
    <row r="53" spans="1:38" s="46" customFormat="1" ht="26.25" customHeight="1">
      <c r="A53" s="36">
        <v>50</v>
      </c>
      <c r="B53" s="37" t="s">
        <v>99</v>
      </c>
      <c r="C53" s="38" t="s">
        <v>109</v>
      </c>
      <c r="D53" s="38" t="s">
        <v>70</v>
      </c>
      <c r="E53" s="71">
        <v>45365</v>
      </c>
      <c r="F53" s="72"/>
      <c r="G53" s="73"/>
      <c r="H53" s="73"/>
      <c r="I53" s="73"/>
      <c r="J53" s="73"/>
      <c r="K53" s="73"/>
      <c r="L53" s="74"/>
      <c r="M53" s="74"/>
      <c r="N53" s="74"/>
      <c r="O53" s="74"/>
      <c r="P53" s="74"/>
      <c r="Q53" s="74"/>
      <c r="R53" s="74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>
        <v>1.7949999999999999</v>
      </c>
      <c r="AI53" s="75">
        <f>AH53*0.2</f>
        <v>0.35899999999999999</v>
      </c>
      <c r="AJ53" s="75">
        <f>AH53*0.6</f>
        <v>1.077</v>
      </c>
      <c r="AK53" s="75">
        <f t="shared" si="0"/>
        <v>0.35899999999999999</v>
      </c>
      <c r="AL53" s="45"/>
    </row>
    <row r="54" spans="1:38" s="46" customFormat="1" ht="26.25" customHeight="1">
      <c r="A54" s="36">
        <v>51</v>
      </c>
      <c r="B54" s="37" t="s">
        <v>99</v>
      </c>
      <c r="C54" s="38" t="s">
        <v>110</v>
      </c>
      <c r="D54" s="38" t="s">
        <v>70</v>
      </c>
      <c r="E54" s="71">
        <v>45365</v>
      </c>
      <c r="F54" s="72"/>
      <c r="G54" s="73"/>
      <c r="H54" s="73"/>
      <c r="I54" s="73"/>
      <c r="J54" s="73"/>
      <c r="K54" s="73"/>
      <c r="L54" s="74"/>
      <c r="M54" s="74"/>
      <c r="N54" s="74"/>
      <c r="O54" s="74"/>
      <c r="P54" s="74"/>
      <c r="Q54" s="74"/>
      <c r="R54" s="74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>
        <v>4.7830000000000004</v>
      </c>
      <c r="AI54" s="75">
        <f>AH54*0.2</f>
        <v>0.95660000000000012</v>
      </c>
      <c r="AJ54" s="75">
        <f>AH54*0.6</f>
        <v>2.8698000000000001</v>
      </c>
      <c r="AK54" s="75">
        <f t="shared" si="0"/>
        <v>0.95660000000000012</v>
      </c>
      <c r="AL54" s="45"/>
    </row>
    <row r="55" spans="1:38" s="46" customFormat="1" ht="26.25" customHeight="1">
      <c r="A55" s="36">
        <v>52</v>
      </c>
      <c r="B55" s="37" t="s">
        <v>99</v>
      </c>
      <c r="C55" s="38" t="s">
        <v>30</v>
      </c>
      <c r="D55" s="38" t="s">
        <v>70</v>
      </c>
      <c r="E55" s="71">
        <v>45399</v>
      </c>
      <c r="F55" s="72"/>
      <c r="G55" s="73"/>
      <c r="H55" s="73"/>
      <c r="I55" s="73"/>
      <c r="J55" s="73"/>
      <c r="K55" s="73"/>
      <c r="L55" s="74"/>
      <c r="M55" s="74"/>
      <c r="N55" s="74"/>
      <c r="O55" s="74"/>
      <c r="P55" s="74"/>
      <c r="Q55" s="74"/>
      <c r="R55" s="74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>
        <v>29.254999999999999</v>
      </c>
      <c r="AI55" s="75">
        <f>AH55*0.2-0.8921*2-0.51*2-0.405*2</f>
        <v>2.2367999999999997</v>
      </c>
      <c r="AJ55" s="75">
        <f>AH55*0.6</f>
        <v>17.552999999999997</v>
      </c>
      <c r="AK55" s="75">
        <f t="shared" si="0"/>
        <v>5.851</v>
      </c>
      <c r="AL55" s="45"/>
    </row>
    <row r="56" spans="1:38" s="46" customFormat="1" ht="26.25" customHeight="1">
      <c r="A56" s="36">
        <v>53</v>
      </c>
      <c r="B56" s="37" t="s">
        <v>99</v>
      </c>
      <c r="C56" s="38" t="s">
        <v>111</v>
      </c>
      <c r="D56" s="38" t="s">
        <v>70</v>
      </c>
      <c r="E56" s="71">
        <v>45721</v>
      </c>
      <c r="F56" s="72"/>
      <c r="G56" s="73"/>
      <c r="H56" s="73"/>
      <c r="I56" s="73"/>
      <c r="J56" s="73"/>
      <c r="K56" s="73"/>
      <c r="L56" s="74"/>
      <c r="M56" s="74"/>
      <c r="N56" s="74"/>
      <c r="O56" s="74"/>
      <c r="P56" s="74"/>
      <c r="Q56" s="74"/>
      <c r="R56" s="74"/>
      <c r="S56" s="73"/>
      <c r="T56" s="73"/>
      <c r="U56" s="73"/>
      <c r="V56" s="76">
        <v>4.3E-3</v>
      </c>
      <c r="W56" s="73">
        <f>V56*0.2</f>
        <v>8.6000000000000009E-4</v>
      </c>
      <c r="X56" s="73">
        <f>V56*0.6</f>
        <v>2.5799999999999998E-3</v>
      </c>
      <c r="Y56" s="73">
        <f>V56*0.2</f>
        <v>8.6000000000000009E-4</v>
      </c>
      <c r="Z56" s="77">
        <v>5.61</v>
      </c>
      <c r="AA56" s="73">
        <f>Z56*0.2-0.14*1.2</f>
        <v>0.95400000000000007</v>
      </c>
      <c r="AB56" s="73">
        <f>Z56*0.6</f>
        <v>3.3660000000000001</v>
      </c>
      <c r="AC56" s="73">
        <f>Z56*0.2</f>
        <v>1.1220000000000001</v>
      </c>
      <c r="AD56" s="77">
        <v>1.3220000000000001</v>
      </c>
      <c r="AE56" s="73">
        <f>AD56*0.2</f>
        <v>0.26440000000000002</v>
      </c>
      <c r="AF56" s="73">
        <f>AD56*0.6</f>
        <v>0.79320000000000002</v>
      </c>
      <c r="AG56" s="73">
        <f>AD56*0.2</f>
        <v>0.26440000000000002</v>
      </c>
      <c r="AH56" s="73"/>
      <c r="AI56" s="75"/>
      <c r="AJ56" s="75"/>
      <c r="AK56" s="75"/>
      <c r="AL56" s="45"/>
    </row>
    <row r="57" spans="1:38" s="46" customFormat="1" ht="26.25" customHeight="1">
      <c r="A57" s="36">
        <v>54</v>
      </c>
      <c r="B57" s="37" t="s">
        <v>99</v>
      </c>
      <c r="C57" s="38" t="s">
        <v>112</v>
      </c>
      <c r="D57" s="38" t="s">
        <v>70</v>
      </c>
      <c r="E57" s="71">
        <v>45721</v>
      </c>
      <c r="F57" s="72"/>
      <c r="G57" s="73"/>
      <c r="H57" s="73"/>
      <c r="I57" s="73"/>
      <c r="J57" s="73"/>
      <c r="K57" s="73"/>
      <c r="L57" s="74"/>
      <c r="M57" s="74"/>
      <c r="N57" s="74"/>
      <c r="O57" s="74"/>
      <c r="P57" s="74"/>
      <c r="Q57" s="74"/>
      <c r="R57" s="74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6">
        <v>1.325</v>
      </c>
      <c r="AI57" s="75">
        <f>AH57*0.2</f>
        <v>0.26500000000000001</v>
      </c>
      <c r="AJ57" s="75">
        <f>AH57*0.6</f>
        <v>0.79499999999999993</v>
      </c>
      <c r="AK57" s="75">
        <f>AH57*0.2</f>
        <v>0.26500000000000001</v>
      </c>
      <c r="AL57" s="45"/>
    </row>
    <row r="58" spans="1:38" s="46" customFormat="1" ht="26.25" customHeight="1">
      <c r="A58" s="36">
        <v>55</v>
      </c>
      <c r="B58" s="37" t="s">
        <v>99</v>
      </c>
      <c r="C58" s="38" t="s">
        <v>113</v>
      </c>
      <c r="D58" s="38" t="s">
        <v>70</v>
      </c>
      <c r="E58" s="71">
        <v>45757</v>
      </c>
      <c r="F58" s="72"/>
      <c r="G58" s="73"/>
      <c r="H58" s="73"/>
      <c r="I58" s="73"/>
      <c r="J58" s="73"/>
      <c r="K58" s="73"/>
      <c r="L58" s="74"/>
      <c r="M58" s="74"/>
      <c r="N58" s="74"/>
      <c r="O58" s="74"/>
      <c r="P58" s="74"/>
      <c r="Q58" s="74"/>
      <c r="R58" s="74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7">
        <v>0.378</v>
      </c>
      <c r="AE58" s="73">
        <f>AD58*0.2</f>
        <v>7.5600000000000001E-2</v>
      </c>
      <c r="AF58" s="73">
        <f>AD58*0.6</f>
        <v>0.2268</v>
      </c>
      <c r="AG58" s="73">
        <f t="shared" ref="AG58:AG63" si="1">AD58*0.2</f>
        <v>7.5600000000000001E-2</v>
      </c>
      <c r="AH58" s="76">
        <v>9.0248000000000008</v>
      </c>
      <c r="AI58" s="75">
        <f>AH58*0.2</f>
        <v>1.8049600000000003</v>
      </c>
      <c r="AJ58" s="75">
        <f>AH58*0.6+0.2865-0.238*2-0.584*2</f>
        <v>4.0573800000000002</v>
      </c>
      <c r="AK58" s="75">
        <f>AH58*0.2</f>
        <v>1.8049600000000003</v>
      </c>
      <c r="AL58" s="45"/>
    </row>
    <row r="59" spans="1:38" s="1" customFormat="1" ht="26.25" customHeight="1">
      <c r="A59" s="36">
        <v>56</v>
      </c>
      <c r="B59" s="47" t="s">
        <v>114</v>
      </c>
      <c r="C59" s="38" t="s">
        <v>38</v>
      </c>
      <c r="D59" s="38" t="s">
        <v>70</v>
      </c>
      <c r="E59" s="71">
        <v>45267</v>
      </c>
      <c r="F59" s="72"/>
      <c r="G59" s="73"/>
      <c r="H59" s="73"/>
      <c r="I59" s="73"/>
      <c r="J59" s="73"/>
      <c r="K59" s="73"/>
      <c r="L59" s="74"/>
      <c r="M59" s="74"/>
      <c r="N59" s="74"/>
      <c r="O59" s="74"/>
      <c r="P59" s="74"/>
      <c r="Q59" s="74"/>
      <c r="R59" s="74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>
        <v>333.85</v>
      </c>
      <c r="AE59" s="73">
        <f>AD59*0.2-0.07*1.1-0.536*1.1-0.4656*1.1-0.641*1.1-0.696*1.1-1.66*1.1-0.8044*1.1-0.1287*1.1-0.593*1.1-0.741*1.1-0.6857*1.1-0.2765*1.1-0.5035*1.1-0.066*1.1-0.433*1.1-0.0965*1.1-0.181*1.1-0.213*1.1-0.9507*1.1-0.4956*1.1-0.975*1.1-0.9947*1.1</f>
        <v>53.342410000000015</v>
      </c>
      <c r="AF59" s="78">
        <f>AD59*0.6+9.678+0.1826+0.5478-37.5*1.1-22.8545*1.1-1.971*1.1-0.2247*1.1+1.0616+0.316-3.0077-0.2968*1.1-0.25*1.1-1.6*1.1-3.089*1.1-0.4717*1.1-14.662*1.1-32.3435*1.1-4.418*1.1-5.229*1.1</f>
        <v>71.68707999999998</v>
      </c>
      <c r="AG59" s="73">
        <f t="shared" si="1"/>
        <v>66.77000000000001</v>
      </c>
      <c r="AH59" s="73"/>
      <c r="AI59" s="75"/>
      <c r="AJ59" s="75"/>
      <c r="AK59" s="75"/>
      <c r="AL59" s="45"/>
    </row>
    <row r="60" spans="1:38" s="1" customFormat="1" ht="26.25" customHeight="1">
      <c r="A60" s="36">
        <v>57</v>
      </c>
      <c r="B60" s="37" t="s">
        <v>114</v>
      </c>
      <c r="C60" s="39" t="s">
        <v>115</v>
      </c>
      <c r="D60" s="39" t="s">
        <v>70</v>
      </c>
      <c r="E60" s="39" t="s">
        <v>116</v>
      </c>
      <c r="F60" s="41"/>
      <c r="G60" s="42"/>
      <c r="H60" s="42"/>
      <c r="I60" s="42"/>
      <c r="J60" s="42"/>
      <c r="K60" s="42"/>
      <c r="L60" s="43"/>
      <c r="M60" s="43"/>
      <c r="N60" s="43"/>
      <c r="O60" s="43"/>
      <c r="P60" s="43"/>
      <c r="Q60" s="43"/>
      <c r="R60" s="43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>
        <v>1.2500000000000001E-2</v>
      </c>
      <c r="AE60" s="42">
        <f>AD60*0.2</f>
        <v>2.5000000000000005E-3</v>
      </c>
      <c r="AF60" s="42">
        <f>AD60*0.6</f>
        <v>7.4999999999999997E-3</v>
      </c>
      <c r="AG60" s="42">
        <f t="shared" si="1"/>
        <v>2.5000000000000005E-3</v>
      </c>
      <c r="AH60" s="42">
        <v>22.46</v>
      </c>
      <c r="AI60" s="44">
        <f>AH60*0.2-0.50385*2-0.412*2-0.5913*2-0.5985*2-0.2807</f>
        <v>0</v>
      </c>
      <c r="AJ60" s="44">
        <f>AH60*0.6-2.91*2-2.584*2-2.488</f>
        <v>0</v>
      </c>
      <c r="AK60" s="44">
        <f t="shared" ref="AK60:AK78" si="2">AH60*0.2</f>
        <v>4.492</v>
      </c>
      <c r="AL60" s="45"/>
    </row>
    <row r="61" spans="1:38" s="1" customFormat="1" ht="26.25" customHeight="1">
      <c r="A61" s="36">
        <v>58</v>
      </c>
      <c r="B61" s="37" t="s">
        <v>114</v>
      </c>
      <c r="C61" s="39" t="s">
        <v>117</v>
      </c>
      <c r="D61" s="39" t="s">
        <v>70</v>
      </c>
      <c r="E61" s="39" t="s">
        <v>116</v>
      </c>
      <c r="F61" s="41"/>
      <c r="G61" s="42"/>
      <c r="H61" s="42"/>
      <c r="I61" s="42"/>
      <c r="J61" s="42"/>
      <c r="K61" s="42"/>
      <c r="L61" s="43"/>
      <c r="M61" s="43"/>
      <c r="N61" s="43"/>
      <c r="O61" s="43"/>
      <c r="P61" s="43"/>
      <c r="Q61" s="43"/>
      <c r="R61" s="43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>
        <v>1.2E-2</v>
      </c>
      <c r="AE61" s="42">
        <f>AD61*0.2</f>
        <v>2.4000000000000002E-3</v>
      </c>
      <c r="AF61" s="42">
        <f>AD61*0.6</f>
        <v>7.1999999999999998E-3</v>
      </c>
      <c r="AG61" s="42">
        <f t="shared" si="1"/>
        <v>2.4000000000000002E-3</v>
      </c>
      <c r="AH61" s="42">
        <v>22.442499999999999</v>
      </c>
      <c r="AI61" s="44">
        <f>AH61*0.2-0.8*2-0.4*2-0.63*2-0.41425*2</f>
        <v>0</v>
      </c>
      <c r="AJ61" s="44">
        <f>AH61*0.6-0.7694*2-0.2094*2-2.5441*2-6.4197</f>
        <v>0</v>
      </c>
      <c r="AK61" s="44">
        <f t="shared" si="2"/>
        <v>4.4885000000000002</v>
      </c>
      <c r="AL61" s="45"/>
    </row>
    <row r="62" spans="1:38" s="60" customFormat="1" ht="26.25" customHeight="1">
      <c r="A62" s="36">
        <v>59</v>
      </c>
      <c r="B62" s="37" t="s">
        <v>114</v>
      </c>
      <c r="C62" s="38" t="s">
        <v>118</v>
      </c>
      <c r="D62" s="39" t="s">
        <v>70</v>
      </c>
      <c r="E62" s="40">
        <v>45173</v>
      </c>
      <c r="F62" s="41"/>
      <c r="G62" s="42"/>
      <c r="H62" s="42"/>
      <c r="I62" s="42"/>
      <c r="J62" s="42"/>
      <c r="K62" s="42"/>
      <c r="L62" s="43"/>
      <c r="M62" s="43"/>
      <c r="N62" s="43"/>
      <c r="O62" s="43"/>
      <c r="P62" s="43"/>
      <c r="Q62" s="43"/>
      <c r="R62" s="43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>
        <v>0.40899999999999997</v>
      </c>
      <c r="AE62" s="42">
        <f>AD62*0.2</f>
        <v>8.1799999999999998E-2</v>
      </c>
      <c r="AF62" s="42">
        <f>AD62*0.6</f>
        <v>0.24539999999999998</v>
      </c>
      <c r="AG62" s="42">
        <f t="shared" si="1"/>
        <v>8.1799999999999998E-2</v>
      </c>
      <c r="AH62" s="42">
        <v>5.3999999999999999E-2</v>
      </c>
      <c r="AI62" s="44">
        <f>AH62*0.2-0.0108</f>
        <v>0</v>
      </c>
      <c r="AJ62" s="44">
        <f>AH62*0.6-0.0324</f>
        <v>0</v>
      </c>
      <c r="AK62" s="44">
        <f t="shared" si="2"/>
        <v>1.0800000000000001E-2</v>
      </c>
      <c r="AL62" s="59"/>
    </row>
    <row r="63" spans="1:38" s="46" customFormat="1" ht="26.25" customHeight="1">
      <c r="A63" s="36">
        <v>60</v>
      </c>
      <c r="B63" s="37" t="s">
        <v>114</v>
      </c>
      <c r="C63" s="38" t="s">
        <v>119</v>
      </c>
      <c r="D63" s="39" t="s">
        <v>70</v>
      </c>
      <c r="E63" s="40">
        <v>45204</v>
      </c>
      <c r="F63" s="41"/>
      <c r="G63" s="42"/>
      <c r="H63" s="42"/>
      <c r="I63" s="42"/>
      <c r="J63" s="42"/>
      <c r="K63" s="42"/>
      <c r="L63" s="43"/>
      <c r="M63" s="43"/>
      <c r="N63" s="43"/>
      <c r="O63" s="43"/>
      <c r="P63" s="43"/>
      <c r="Q63" s="43"/>
      <c r="R63" s="43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>
        <v>7</v>
      </c>
      <c r="AE63" s="42">
        <f>AD63*0.2+0.4499-0.583*1.1-0.5*1.1</f>
        <v>0.65860000000000007</v>
      </c>
      <c r="AF63" s="42">
        <f>AD63*0.6-2.7*1.1</f>
        <v>1.2299999999999995</v>
      </c>
      <c r="AG63" s="42">
        <f t="shared" si="1"/>
        <v>1.4000000000000001</v>
      </c>
      <c r="AH63" s="42">
        <v>0.95699999999999996</v>
      </c>
      <c r="AI63" s="44">
        <f>AH63*0.2-0.1914</f>
        <v>0</v>
      </c>
      <c r="AJ63" s="44">
        <f>AH63*0.6-0.5742</f>
        <v>0</v>
      </c>
      <c r="AK63" s="44">
        <f t="shared" si="2"/>
        <v>0.19140000000000001</v>
      </c>
      <c r="AL63" s="45"/>
    </row>
    <row r="64" spans="1:38" s="46" customFormat="1" ht="26.25" customHeight="1">
      <c r="A64" s="36">
        <v>61</v>
      </c>
      <c r="B64" s="37" t="s">
        <v>114</v>
      </c>
      <c r="C64" s="38" t="s">
        <v>120</v>
      </c>
      <c r="D64" s="39" t="s">
        <v>70</v>
      </c>
      <c r="E64" s="40">
        <v>45224</v>
      </c>
      <c r="F64" s="41"/>
      <c r="G64" s="42"/>
      <c r="H64" s="42"/>
      <c r="I64" s="42"/>
      <c r="J64" s="42"/>
      <c r="K64" s="42"/>
      <c r="L64" s="43"/>
      <c r="M64" s="43"/>
      <c r="N64" s="43"/>
      <c r="O64" s="43"/>
      <c r="P64" s="43"/>
      <c r="Q64" s="43"/>
      <c r="R64" s="43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>
        <v>13.943</v>
      </c>
      <c r="AI64" s="44">
        <f>AH64*0.2-0.989*2-0.8106</f>
        <v>0</v>
      </c>
      <c r="AJ64" s="44">
        <f>AH64*0.6-8.3658</f>
        <v>0</v>
      </c>
      <c r="AK64" s="44">
        <f t="shared" si="2"/>
        <v>2.7886000000000002</v>
      </c>
      <c r="AL64" s="45"/>
    </row>
    <row r="65" spans="1:38" s="46" customFormat="1" ht="26.25" customHeight="1">
      <c r="A65" s="36">
        <v>62</v>
      </c>
      <c r="B65" s="37" t="s">
        <v>114</v>
      </c>
      <c r="C65" s="38" t="s">
        <v>121</v>
      </c>
      <c r="D65" s="39" t="s">
        <v>70</v>
      </c>
      <c r="E65" s="40">
        <v>45224</v>
      </c>
      <c r="F65" s="41"/>
      <c r="G65" s="42"/>
      <c r="H65" s="42"/>
      <c r="I65" s="42"/>
      <c r="J65" s="42"/>
      <c r="K65" s="42"/>
      <c r="L65" s="43"/>
      <c r="M65" s="43"/>
      <c r="N65" s="43"/>
      <c r="O65" s="43"/>
      <c r="P65" s="43"/>
      <c r="Q65" s="43"/>
      <c r="R65" s="43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>
        <v>2.2492999999999999</v>
      </c>
      <c r="AE65" s="42">
        <f>AD65*0.2-0.4499</f>
        <v>-4.0000000000040004E-5</v>
      </c>
      <c r="AF65" s="42">
        <f>AD65*0.6</f>
        <v>1.3495799999999998</v>
      </c>
      <c r="AG65" s="42">
        <f>AD65*0.2</f>
        <v>0.44985999999999998</v>
      </c>
      <c r="AH65" s="42">
        <v>7.39</v>
      </c>
      <c r="AI65" s="44">
        <f>AH65*0.2-1.478</f>
        <v>0</v>
      </c>
      <c r="AJ65" s="44">
        <f>AH65*0.6-4.434</f>
        <v>0</v>
      </c>
      <c r="AK65" s="44">
        <f t="shared" si="2"/>
        <v>1.478</v>
      </c>
      <c r="AL65" s="45"/>
    </row>
    <row r="66" spans="1:38" s="46" customFormat="1" ht="26.25" customHeight="1">
      <c r="A66" s="36">
        <v>63</v>
      </c>
      <c r="B66" s="37" t="s">
        <v>114</v>
      </c>
      <c r="C66" s="38" t="s">
        <v>122</v>
      </c>
      <c r="D66" s="39" t="s">
        <v>70</v>
      </c>
      <c r="E66" s="40">
        <v>45238</v>
      </c>
      <c r="F66" s="41"/>
      <c r="G66" s="42"/>
      <c r="H66" s="42"/>
      <c r="I66" s="42"/>
      <c r="J66" s="42"/>
      <c r="K66" s="42"/>
      <c r="L66" s="43"/>
      <c r="M66" s="43"/>
      <c r="N66" s="43"/>
      <c r="O66" s="43"/>
      <c r="P66" s="43"/>
      <c r="Q66" s="43"/>
      <c r="R66" s="43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>
        <v>0.3</v>
      </c>
      <c r="AE66" s="42">
        <f>AD66*0.2</f>
        <v>0.06</v>
      </c>
      <c r="AF66" s="42">
        <f>AD66*0.6</f>
        <v>0.18</v>
      </c>
      <c r="AG66" s="42">
        <f>AD66*0.2</f>
        <v>0.06</v>
      </c>
      <c r="AH66" s="42">
        <v>0.72</v>
      </c>
      <c r="AI66" s="44">
        <f>AH66*0.2-0.144</f>
        <v>0</v>
      </c>
      <c r="AJ66" s="44">
        <f>AH66*0.6-0.432</f>
        <v>0</v>
      </c>
      <c r="AK66" s="44">
        <f t="shared" si="2"/>
        <v>0.14399999999999999</v>
      </c>
      <c r="AL66" s="45"/>
    </row>
    <row r="67" spans="1:38" s="1" customFormat="1" ht="26.25" customHeight="1">
      <c r="A67" s="36">
        <v>64</v>
      </c>
      <c r="B67" s="37" t="s">
        <v>114</v>
      </c>
      <c r="C67" s="38" t="s">
        <v>123</v>
      </c>
      <c r="D67" s="39" t="s">
        <v>70</v>
      </c>
      <c r="E67" s="40">
        <v>45238</v>
      </c>
      <c r="F67" s="41"/>
      <c r="G67" s="42"/>
      <c r="H67" s="42"/>
      <c r="I67" s="42"/>
      <c r="J67" s="42"/>
      <c r="K67" s="42"/>
      <c r="L67" s="43"/>
      <c r="M67" s="43"/>
      <c r="N67" s="43"/>
      <c r="O67" s="43"/>
      <c r="P67" s="43"/>
      <c r="Q67" s="43"/>
      <c r="R67" s="43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>
        <v>0.8</v>
      </c>
      <c r="AI67" s="44">
        <f>AH67*0.2-0.16</f>
        <v>0</v>
      </c>
      <c r="AJ67" s="44">
        <f>AH67*0.6-0.48</f>
        <v>0</v>
      </c>
      <c r="AK67" s="44">
        <f t="shared" si="2"/>
        <v>0.16000000000000003</v>
      </c>
      <c r="AL67" s="45"/>
    </row>
    <row r="68" spans="1:38" s="55" customFormat="1" ht="26.25" customHeight="1">
      <c r="A68" s="36">
        <v>65</v>
      </c>
      <c r="B68" s="37" t="s">
        <v>114</v>
      </c>
      <c r="C68" s="38" t="s">
        <v>31</v>
      </c>
      <c r="D68" s="39" t="s">
        <v>70</v>
      </c>
      <c r="E68" s="40">
        <v>45264</v>
      </c>
      <c r="F68" s="41"/>
      <c r="G68" s="42"/>
      <c r="H68" s="42"/>
      <c r="I68" s="42"/>
      <c r="J68" s="42"/>
      <c r="K68" s="42"/>
      <c r="L68" s="43"/>
      <c r="M68" s="43"/>
      <c r="N68" s="43"/>
      <c r="O68" s="43"/>
      <c r="P68" s="43"/>
      <c r="Q68" s="43"/>
      <c r="R68" s="43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>
        <v>12.689</v>
      </c>
      <c r="AE68" s="42">
        <f>AD68*0.2-0.38*1.1-0.498*1.1-0.3323*1.1</f>
        <v>1.2064699999999999</v>
      </c>
      <c r="AF68" s="42">
        <f>AD68*0.6</f>
        <v>7.6133999999999995</v>
      </c>
      <c r="AG68" s="42">
        <f>AD68*0.2</f>
        <v>2.5378000000000003</v>
      </c>
      <c r="AH68" s="42">
        <v>7.2599999999999998E-2</v>
      </c>
      <c r="AI68" s="44">
        <f>AH68*0.2-0.0145</f>
        <v>1.9999999999999185E-5</v>
      </c>
      <c r="AJ68" s="44">
        <f>AH68*0.6-0.0436</f>
        <v>-4.0000000000005309E-5</v>
      </c>
      <c r="AK68" s="44">
        <f t="shared" si="2"/>
        <v>1.452E-2</v>
      </c>
      <c r="AL68" s="45"/>
    </row>
    <row r="69" spans="1:38" s="1" customFormat="1" ht="26.25" customHeight="1">
      <c r="A69" s="36">
        <v>66</v>
      </c>
      <c r="B69" s="47" t="s">
        <v>114</v>
      </c>
      <c r="C69" s="38" t="s">
        <v>124</v>
      </c>
      <c r="D69" s="39" t="s">
        <v>70</v>
      </c>
      <c r="E69" s="40">
        <v>45264</v>
      </c>
      <c r="F69" s="41"/>
      <c r="G69" s="42"/>
      <c r="H69" s="42"/>
      <c r="I69" s="42"/>
      <c r="J69" s="42"/>
      <c r="K69" s="42"/>
      <c r="L69" s="43"/>
      <c r="M69" s="43"/>
      <c r="N69" s="43"/>
      <c r="O69" s="43"/>
      <c r="P69" s="43"/>
      <c r="Q69" s="43"/>
      <c r="R69" s="43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>
        <v>11.815</v>
      </c>
      <c r="AE69" s="42">
        <f>AD69*0.2</f>
        <v>2.363</v>
      </c>
      <c r="AF69" s="42">
        <f>AD69*0.6-0.336*1.1</f>
        <v>6.7193999999999994</v>
      </c>
      <c r="AG69" s="42">
        <f>AD69*0.2</f>
        <v>2.363</v>
      </c>
      <c r="AH69" s="42">
        <v>0.65600000000000003</v>
      </c>
      <c r="AI69" s="44">
        <f>AH69*0.2-0.1312</f>
        <v>0</v>
      </c>
      <c r="AJ69" s="44">
        <f>AH69*0.6-0.3936</f>
        <v>0</v>
      </c>
      <c r="AK69" s="44">
        <f t="shared" si="2"/>
        <v>0.13120000000000001</v>
      </c>
      <c r="AL69" s="45"/>
    </row>
    <row r="70" spans="1:38" s="1" customFormat="1" ht="26.25" customHeight="1">
      <c r="A70" s="36">
        <v>67</v>
      </c>
      <c r="B70" s="37" t="s">
        <v>114</v>
      </c>
      <c r="C70" s="38" t="s">
        <v>125</v>
      </c>
      <c r="D70" s="39" t="s">
        <v>70</v>
      </c>
      <c r="E70" s="40">
        <v>45264</v>
      </c>
      <c r="F70" s="41"/>
      <c r="G70" s="42"/>
      <c r="H70" s="42"/>
      <c r="I70" s="42"/>
      <c r="J70" s="42"/>
      <c r="K70" s="42"/>
      <c r="L70" s="43"/>
      <c r="M70" s="43"/>
      <c r="N70" s="43"/>
      <c r="O70" s="43"/>
      <c r="P70" s="43"/>
      <c r="Q70" s="43"/>
      <c r="R70" s="43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>
        <v>9.4559999999999995</v>
      </c>
      <c r="AI70" s="44">
        <f>AH70*0.2-1.8912</f>
        <v>0</v>
      </c>
      <c r="AJ70" s="44">
        <f>AH70*0.6-5.6736</f>
        <v>0</v>
      </c>
      <c r="AK70" s="44">
        <f t="shared" si="2"/>
        <v>1.8912</v>
      </c>
      <c r="AL70" s="45"/>
    </row>
    <row r="71" spans="1:38" s="1" customFormat="1" ht="26.25" customHeight="1">
      <c r="A71" s="36">
        <v>68</v>
      </c>
      <c r="B71" s="37" t="s">
        <v>114</v>
      </c>
      <c r="C71" s="38" t="s">
        <v>126</v>
      </c>
      <c r="D71" s="39" t="s">
        <v>70</v>
      </c>
      <c r="E71" s="40">
        <v>45264</v>
      </c>
      <c r="F71" s="41"/>
      <c r="G71" s="42"/>
      <c r="H71" s="42"/>
      <c r="I71" s="42"/>
      <c r="J71" s="42"/>
      <c r="K71" s="42"/>
      <c r="L71" s="43"/>
      <c r="M71" s="43"/>
      <c r="N71" s="43"/>
      <c r="O71" s="43"/>
      <c r="P71" s="43"/>
      <c r="Q71" s="43"/>
      <c r="R71" s="43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>
        <v>31.914000000000001</v>
      </c>
      <c r="AI71" s="44">
        <f>AH71*0.2+19.1484-9.8982*2-5.7348</f>
        <v>0</v>
      </c>
      <c r="AJ71" s="44">
        <f>AH71*0.6-19.1484</f>
        <v>0</v>
      </c>
      <c r="AK71" s="44">
        <f t="shared" si="2"/>
        <v>6.3828000000000005</v>
      </c>
      <c r="AL71" s="45"/>
    </row>
    <row r="72" spans="1:38" s="1" customFormat="1" ht="26.25" customHeight="1">
      <c r="A72" s="36">
        <v>69</v>
      </c>
      <c r="B72" s="37" t="s">
        <v>114</v>
      </c>
      <c r="C72" s="38" t="s">
        <v>13</v>
      </c>
      <c r="D72" s="38" t="s">
        <v>70</v>
      </c>
      <c r="E72" s="71">
        <v>45267</v>
      </c>
      <c r="F72" s="72"/>
      <c r="G72" s="73"/>
      <c r="H72" s="73"/>
      <c r="I72" s="73"/>
      <c r="J72" s="73"/>
      <c r="K72" s="73"/>
      <c r="L72" s="74"/>
      <c r="M72" s="74"/>
      <c r="N72" s="74"/>
      <c r="O72" s="74"/>
      <c r="P72" s="74"/>
      <c r="Q72" s="74"/>
      <c r="R72" s="74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>
        <v>56.4</v>
      </c>
      <c r="AE72" s="73">
        <f>AD72*0.2+0.5946-1.125*1.1-1.9*1.1-1.9199*1.1-0.005*1.1-0.143*1.1-0.8509*1.1</f>
        <v>5.3364199999999995</v>
      </c>
      <c r="AF72" s="73">
        <f>AD72*0.6-0.648*1.1</f>
        <v>33.127199999999995</v>
      </c>
      <c r="AG72" s="73">
        <f>AD72*0.2</f>
        <v>11.280000000000001</v>
      </c>
      <c r="AH72" s="73">
        <v>3.0019999999999998</v>
      </c>
      <c r="AI72" s="75">
        <f>AH72*0.2-0.6004</f>
        <v>0</v>
      </c>
      <c r="AJ72" s="75">
        <f>AH72*0.6-1.8012</f>
        <v>0</v>
      </c>
      <c r="AK72" s="75">
        <f t="shared" si="2"/>
        <v>0.60040000000000004</v>
      </c>
      <c r="AL72" s="45"/>
    </row>
    <row r="73" spans="1:38" s="1" customFormat="1" ht="26.25" customHeight="1">
      <c r="A73" s="36">
        <v>70</v>
      </c>
      <c r="B73" s="37" t="s">
        <v>114</v>
      </c>
      <c r="C73" s="38" t="s">
        <v>127</v>
      </c>
      <c r="D73" s="38" t="s">
        <v>70</v>
      </c>
      <c r="E73" s="71">
        <v>45267</v>
      </c>
      <c r="F73" s="72"/>
      <c r="G73" s="73"/>
      <c r="H73" s="73"/>
      <c r="I73" s="73"/>
      <c r="J73" s="73"/>
      <c r="K73" s="73"/>
      <c r="L73" s="74"/>
      <c r="M73" s="74"/>
      <c r="N73" s="74"/>
      <c r="O73" s="74"/>
      <c r="P73" s="74"/>
      <c r="Q73" s="74"/>
      <c r="R73" s="74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>
        <v>41.057000000000002</v>
      </c>
      <c r="AE73" s="73">
        <f>AD73*0.2</f>
        <v>8.2114000000000011</v>
      </c>
      <c r="AF73" s="73">
        <f>AD73*0.6</f>
        <v>24.6342</v>
      </c>
      <c r="AG73" s="73">
        <f>AD73*0.2</f>
        <v>8.2114000000000011</v>
      </c>
      <c r="AH73" s="73">
        <v>0.42</v>
      </c>
      <c r="AI73" s="75">
        <f>AH73*0.2-0.084</f>
        <v>0</v>
      </c>
      <c r="AJ73" s="75">
        <f>AH73*0.6-0.252</f>
        <v>0</v>
      </c>
      <c r="AK73" s="75">
        <f t="shared" si="2"/>
        <v>8.4000000000000005E-2</v>
      </c>
      <c r="AL73" s="45"/>
    </row>
    <row r="74" spans="1:38" s="1" customFormat="1" ht="26.25" customHeight="1">
      <c r="A74" s="36">
        <v>71</v>
      </c>
      <c r="B74" s="37" t="s">
        <v>114</v>
      </c>
      <c r="C74" s="38" t="s">
        <v>128</v>
      </c>
      <c r="D74" s="38" t="s">
        <v>70</v>
      </c>
      <c r="E74" s="71">
        <v>45281</v>
      </c>
      <c r="F74" s="72"/>
      <c r="G74" s="73"/>
      <c r="H74" s="73"/>
      <c r="I74" s="73"/>
      <c r="J74" s="73"/>
      <c r="K74" s="73"/>
      <c r="L74" s="74"/>
      <c r="M74" s="74"/>
      <c r="N74" s="74"/>
      <c r="O74" s="74"/>
      <c r="P74" s="74"/>
      <c r="Q74" s="74"/>
      <c r="R74" s="74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>
        <v>4.6639999999999997</v>
      </c>
      <c r="AI74" s="75">
        <f>AH74*0.2-0.9328</f>
        <v>0</v>
      </c>
      <c r="AJ74" s="75">
        <f>AH74*0.6-2.7984</f>
        <v>0</v>
      </c>
      <c r="AK74" s="75">
        <f t="shared" si="2"/>
        <v>0.93279999999999996</v>
      </c>
      <c r="AL74" s="45"/>
    </row>
    <row r="75" spans="1:38" s="1" customFormat="1" ht="26.25" customHeight="1">
      <c r="A75" s="36">
        <v>72</v>
      </c>
      <c r="B75" s="37" t="s">
        <v>114</v>
      </c>
      <c r="C75" s="38" t="s">
        <v>129</v>
      </c>
      <c r="D75" s="38" t="s">
        <v>70</v>
      </c>
      <c r="E75" s="71">
        <v>45281</v>
      </c>
      <c r="F75" s="72"/>
      <c r="G75" s="73"/>
      <c r="H75" s="73"/>
      <c r="I75" s="73"/>
      <c r="J75" s="73"/>
      <c r="K75" s="73"/>
      <c r="L75" s="74"/>
      <c r="M75" s="74"/>
      <c r="N75" s="74"/>
      <c r="O75" s="74"/>
      <c r="P75" s="74"/>
      <c r="Q75" s="74"/>
      <c r="R75" s="74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>
        <v>4.9619999999999997</v>
      </c>
      <c r="AI75" s="75">
        <f>AH75*0.2-0.9924</f>
        <v>0</v>
      </c>
      <c r="AJ75" s="75">
        <f>AH75*0.6-2.9772</f>
        <v>0</v>
      </c>
      <c r="AK75" s="75">
        <f t="shared" si="2"/>
        <v>0.99239999999999995</v>
      </c>
      <c r="AL75" s="45"/>
    </row>
    <row r="76" spans="1:38" s="46" customFormat="1" ht="26.25" customHeight="1">
      <c r="A76" s="36">
        <v>73</v>
      </c>
      <c r="B76" s="37" t="s">
        <v>114</v>
      </c>
      <c r="C76" s="38" t="s">
        <v>130</v>
      </c>
      <c r="D76" s="38" t="s">
        <v>70</v>
      </c>
      <c r="E76" s="71">
        <v>45281</v>
      </c>
      <c r="F76" s="72"/>
      <c r="G76" s="73"/>
      <c r="H76" s="73"/>
      <c r="I76" s="73"/>
      <c r="J76" s="73"/>
      <c r="K76" s="73"/>
      <c r="L76" s="74"/>
      <c r="M76" s="74"/>
      <c r="N76" s="74"/>
      <c r="O76" s="74"/>
      <c r="P76" s="74"/>
      <c r="Q76" s="74"/>
      <c r="R76" s="74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>
        <v>58.509</v>
      </c>
      <c r="AI76" s="75">
        <f>AH76*0.2+0.8106+1.478+0.144+0.16+0.0145+0.1312+1.8912+5.7348+0.6004+0.084+0.9328+0.9924+0.8968-19.8002-0.6*2-1.05*2-1.1986*2-0.0751</f>
        <v>-2.7200464103316335E-15</v>
      </c>
      <c r="AJ76" s="75">
        <f>AH76*0.6-35.1054</f>
        <v>0</v>
      </c>
      <c r="AK76" s="75">
        <f t="shared" si="2"/>
        <v>11.7018</v>
      </c>
      <c r="AL76" s="45"/>
    </row>
    <row r="77" spans="1:38" s="46" customFormat="1" ht="26.25" customHeight="1">
      <c r="A77" s="36">
        <v>74</v>
      </c>
      <c r="B77" s="37" t="s">
        <v>114</v>
      </c>
      <c r="C77" s="38" t="s">
        <v>131</v>
      </c>
      <c r="D77" s="38" t="s">
        <v>70</v>
      </c>
      <c r="E77" s="71">
        <v>45281</v>
      </c>
      <c r="F77" s="72"/>
      <c r="G77" s="73"/>
      <c r="H77" s="73"/>
      <c r="I77" s="73"/>
      <c r="J77" s="73"/>
      <c r="K77" s="73"/>
      <c r="L77" s="74"/>
      <c r="M77" s="74"/>
      <c r="N77" s="74"/>
      <c r="O77" s="74"/>
      <c r="P77" s="74"/>
      <c r="Q77" s="74"/>
      <c r="R77" s="74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>
        <v>4.484</v>
      </c>
      <c r="AI77" s="75">
        <f>AH77*0.2-0.8968</f>
        <v>0</v>
      </c>
      <c r="AJ77" s="75">
        <f>AH77*0.6+8.3658+4.434+0.432+0.48+0.0436+0.3936+5.6736+0+1.8012+0.252+2.7984+2.9772+35.1054-65.4472</f>
        <v>0</v>
      </c>
      <c r="AK77" s="75">
        <f t="shared" si="2"/>
        <v>0.89680000000000004</v>
      </c>
      <c r="AL77" s="45"/>
    </row>
    <row r="78" spans="1:38" ht="26.25" customHeight="1">
      <c r="A78" s="36">
        <v>75</v>
      </c>
      <c r="B78" s="37" t="s">
        <v>114</v>
      </c>
      <c r="C78" s="38" t="s">
        <v>132</v>
      </c>
      <c r="D78" s="38" t="s">
        <v>70</v>
      </c>
      <c r="E78" s="71">
        <v>45405</v>
      </c>
      <c r="F78" s="72"/>
      <c r="G78" s="73"/>
      <c r="H78" s="73"/>
      <c r="I78" s="73"/>
      <c r="J78" s="73"/>
      <c r="K78" s="73"/>
      <c r="L78" s="74"/>
      <c r="M78" s="74"/>
      <c r="N78" s="74"/>
      <c r="O78" s="74"/>
      <c r="P78" s="74"/>
      <c r="Q78" s="74"/>
      <c r="R78" s="74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6">
        <v>25.366</v>
      </c>
      <c r="AI78" s="75">
        <f>AH78*0.2-1.037*2-0.425*2-0.0278*2-0.5*2-0.477*2-0.1396</f>
        <v>0</v>
      </c>
      <c r="AJ78" s="75">
        <f>AH78*0.6-2.2561*2-10.7074</f>
        <v>0</v>
      </c>
      <c r="AK78" s="75">
        <f t="shared" si="2"/>
        <v>5.0731999999999999</v>
      </c>
      <c r="AL78" s="45"/>
    </row>
    <row r="79" spans="1:38" ht="26.25" customHeight="1">
      <c r="A79" s="36">
        <v>76</v>
      </c>
      <c r="B79" s="37" t="s">
        <v>114</v>
      </c>
      <c r="C79" s="38" t="s">
        <v>133</v>
      </c>
      <c r="D79" s="38" t="s">
        <v>70</v>
      </c>
      <c r="E79" s="71">
        <v>45639</v>
      </c>
      <c r="F79" s="72"/>
      <c r="G79" s="73"/>
      <c r="H79" s="73"/>
      <c r="I79" s="73"/>
      <c r="J79" s="73"/>
      <c r="K79" s="73"/>
      <c r="L79" s="74"/>
      <c r="M79" s="74"/>
      <c r="N79" s="74"/>
      <c r="O79" s="74"/>
      <c r="P79" s="74"/>
      <c r="Q79" s="74"/>
      <c r="R79" s="74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6">
        <v>2.573</v>
      </c>
      <c r="AE79" s="73">
        <f>AD79*0.2</f>
        <v>0.51460000000000006</v>
      </c>
      <c r="AF79" s="73">
        <f>AD79*0.6-0.33*1.1</f>
        <v>1.1807999999999998</v>
      </c>
      <c r="AG79" s="73">
        <f>AD79*0.2</f>
        <v>0.51460000000000006</v>
      </c>
      <c r="AH79" s="73"/>
      <c r="AI79" s="75"/>
      <c r="AJ79" s="75"/>
      <c r="AK79" s="75"/>
      <c r="AL79" s="45"/>
    </row>
    <row r="80" spans="1:38" ht="26.25" customHeight="1">
      <c r="A80" s="36">
        <v>77</v>
      </c>
      <c r="B80" s="37" t="s">
        <v>114</v>
      </c>
      <c r="C80" s="38" t="s">
        <v>134</v>
      </c>
      <c r="D80" s="38" t="s">
        <v>70</v>
      </c>
      <c r="E80" s="71">
        <v>45609</v>
      </c>
      <c r="F80" s="72"/>
      <c r="G80" s="73"/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3"/>
      <c r="T80" s="73"/>
      <c r="U80" s="73"/>
      <c r="V80" s="73">
        <v>0.2</v>
      </c>
      <c r="W80" s="73">
        <f>V80*0.2</f>
        <v>4.0000000000000008E-2</v>
      </c>
      <c r="X80" s="73">
        <f>V80*0.6</f>
        <v>0.12</v>
      </c>
      <c r="Y80" s="73">
        <f>V80*0.2</f>
        <v>4.0000000000000008E-2</v>
      </c>
      <c r="Z80" s="76">
        <v>0.93600000000000005</v>
      </c>
      <c r="AA80" s="73">
        <f>Z80*0.2</f>
        <v>0.18720000000000003</v>
      </c>
      <c r="AB80" s="73">
        <f>Z80*0.6</f>
        <v>0.56159999999999999</v>
      </c>
      <c r="AC80" s="73">
        <f>Z80*0.2</f>
        <v>0.18720000000000003</v>
      </c>
      <c r="AD80" s="76">
        <v>0.55900000000000005</v>
      </c>
      <c r="AE80" s="73">
        <f>AD80*0.2</f>
        <v>0.11180000000000001</v>
      </c>
      <c r="AF80" s="73">
        <f>AD80*0.6-0.0139*1.1</f>
        <v>0.32011000000000001</v>
      </c>
      <c r="AG80" s="73">
        <f>AD80*0.2</f>
        <v>0.11180000000000001</v>
      </c>
      <c r="AH80" s="76">
        <v>0.78</v>
      </c>
      <c r="AI80" s="75">
        <f>AH80*0.2-0.156</f>
        <v>0</v>
      </c>
      <c r="AJ80" s="75">
        <f>AH80*0.6+10.7074-5.5*2-0.1754</f>
        <v>-2.2204460492503131E-16</v>
      </c>
      <c r="AK80" s="75">
        <f>AH80*0.2</f>
        <v>0.15600000000000003</v>
      </c>
      <c r="AL80" s="45"/>
    </row>
    <row r="81" spans="1:38" ht="26.25" customHeight="1">
      <c r="A81" s="36">
        <v>78</v>
      </c>
      <c r="B81" s="37" t="s">
        <v>114</v>
      </c>
      <c r="C81" s="38" t="s">
        <v>135</v>
      </c>
      <c r="D81" s="38" t="s">
        <v>70</v>
      </c>
      <c r="E81" s="71">
        <v>45791</v>
      </c>
      <c r="F81" s="72"/>
      <c r="G81" s="73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6">
        <v>10.2685</v>
      </c>
      <c r="AI81" s="75">
        <f>AH81*0.2-0.45*2+0.0751+0.1396+0.156-0.158*2-1.2084</f>
        <v>0</v>
      </c>
      <c r="AJ81" s="75">
        <f>AH81*0.6+1.2084+0.1754-2.5214*2-0.087*2-0.141*2-0.61*2-0.2116*2-0.0582*2-0.2865</f>
        <v>0</v>
      </c>
      <c r="AK81" s="75">
        <f>AH81*0.2</f>
        <v>2.0537000000000001</v>
      </c>
      <c r="AL81" s="45"/>
    </row>
    <row r="82" spans="1:38" ht="26.25" customHeight="1">
      <c r="A82" s="36"/>
      <c r="B82" s="48" t="s">
        <v>136</v>
      </c>
      <c r="C82" s="39"/>
      <c r="D82" s="39"/>
      <c r="E82" s="39"/>
      <c r="F82" s="41"/>
      <c r="G82" s="42"/>
      <c r="H82" s="42"/>
      <c r="I82" s="42"/>
      <c r="J82" s="42"/>
      <c r="K82" s="42"/>
      <c r="L82" s="43"/>
      <c r="M82" s="43"/>
      <c r="N82" s="43"/>
      <c r="O82" s="43"/>
      <c r="P82" s="43"/>
      <c r="Q82" s="43"/>
      <c r="R82" s="43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4"/>
      <c r="AJ82" s="44"/>
      <c r="AK82" s="44"/>
      <c r="AL82" s="45"/>
    </row>
    <row r="83" spans="1:38" ht="26.25" customHeight="1">
      <c r="A83" s="36">
        <v>79</v>
      </c>
      <c r="B83" s="48" t="s">
        <v>9</v>
      </c>
      <c r="C83" s="79" t="s">
        <v>10</v>
      </c>
      <c r="D83" s="79" t="s">
        <v>70</v>
      </c>
      <c r="E83" s="50">
        <v>45012</v>
      </c>
      <c r="F83" s="80">
        <v>6.18</v>
      </c>
      <c r="G83" s="42">
        <f>F83*0.2-0.0727*1.2-0.093*1.2-0.098*1.2-0.0727*1.2-0.3*1.2-0.1632*1.2</f>
        <v>0.27648000000000006</v>
      </c>
      <c r="H83" s="42">
        <f>F83*0.6</f>
        <v>3.7079999999999997</v>
      </c>
      <c r="I83" s="42">
        <f>F83*0.2</f>
        <v>1.236</v>
      </c>
      <c r="J83" s="42">
        <v>0.5</v>
      </c>
      <c r="K83" s="42">
        <f>J83*0.2-0.0024*1.2</f>
        <v>9.7120000000000012E-2</v>
      </c>
      <c r="L83" s="43">
        <f>J83*0.6</f>
        <v>0.3</v>
      </c>
      <c r="M83" s="43">
        <f>J83*0.2</f>
        <v>0.1</v>
      </c>
      <c r="N83" s="43">
        <v>1.5</v>
      </c>
      <c r="O83" s="43">
        <f>N83*0.2-0.0072*1.2</f>
        <v>0.29136000000000006</v>
      </c>
      <c r="P83" s="43">
        <f>N83*0.6-0.9</f>
        <v>0</v>
      </c>
      <c r="Q83" s="43">
        <f>N83*0.2</f>
        <v>0.30000000000000004</v>
      </c>
      <c r="R83" s="43">
        <v>0.05</v>
      </c>
      <c r="S83" s="42">
        <f>R83*0.2-0.0003*1.2</f>
        <v>9.6400000000000027E-3</v>
      </c>
      <c r="T83" s="42">
        <f>R83*0.6</f>
        <v>0.03</v>
      </c>
      <c r="U83" s="42">
        <f>R83*0.2</f>
        <v>1.0000000000000002E-2</v>
      </c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4"/>
      <c r="AJ83" s="44"/>
      <c r="AK83" s="44"/>
      <c r="AL83" s="56" t="s">
        <v>137</v>
      </c>
    </row>
    <row r="84" spans="1:38" ht="26.25" customHeight="1">
      <c r="A84" s="36">
        <v>80</v>
      </c>
      <c r="B84" s="81" t="s">
        <v>9</v>
      </c>
      <c r="C84" s="69" t="s">
        <v>37</v>
      </c>
      <c r="D84" s="64" t="s">
        <v>70</v>
      </c>
      <c r="E84" s="50">
        <v>45037</v>
      </c>
      <c r="F84" s="65"/>
      <c r="G84" s="49"/>
      <c r="H84" s="49"/>
      <c r="I84" s="58"/>
      <c r="J84" s="58"/>
      <c r="K84" s="58"/>
      <c r="L84" s="66"/>
      <c r="M84" s="66"/>
      <c r="N84" s="66"/>
      <c r="O84" s="66"/>
      <c r="P84" s="66"/>
      <c r="Q84" s="66"/>
      <c r="R84" s="66"/>
      <c r="S84" s="58"/>
      <c r="T84" s="58"/>
      <c r="U84" s="58"/>
      <c r="V84" s="58"/>
      <c r="W84" s="58"/>
      <c r="X84" s="58"/>
      <c r="Y84" s="58"/>
      <c r="Z84" s="58"/>
      <c r="AA84" s="49"/>
      <c r="AB84" s="49"/>
      <c r="AC84" s="58"/>
      <c r="AD84" s="58"/>
      <c r="AE84" s="58"/>
      <c r="AF84" s="58"/>
      <c r="AG84" s="58"/>
      <c r="AH84" s="58">
        <v>52.850200000000001</v>
      </c>
      <c r="AI84" s="57">
        <f>AH84*0.2-0.0089*2-0.0303*2-0.0352*2-0.0102*2-0.0665*2-0.0731*2-0.0998*2-0.0532*2-0.0399*2-0.174*2-0.8778*2-0.0293*2-0.122*2-0.0318*2-0.0228*2</f>
        <v>7.2204399999999964</v>
      </c>
      <c r="AJ84" s="57">
        <f>AH84*0.6-31.7101</f>
        <v>1.9999999999242846E-5</v>
      </c>
      <c r="AK84" s="57">
        <f>AH84*0.2</f>
        <v>10.570040000000001</v>
      </c>
      <c r="AL84" s="45"/>
    </row>
    <row r="85" spans="1:38" ht="26.25" customHeight="1">
      <c r="A85" s="36">
        <v>81</v>
      </c>
      <c r="B85" s="63" t="s">
        <v>9</v>
      </c>
      <c r="C85" s="69" t="s">
        <v>138</v>
      </c>
      <c r="D85" s="64" t="s">
        <v>70</v>
      </c>
      <c r="E85" s="50">
        <v>45039</v>
      </c>
      <c r="F85" s="65"/>
      <c r="G85" s="49"/>
      <c r="H85" s="49"/>
      <c r="I85" s="58"/>
      <c r="J85" s="58"/>
      <c r="K85" s="58"/>
      <c r="L85" s="66"/>
      <c r="M85" s="66"/>
      <c r="N85" s="66"/>
      <c r="O85" s="66"/>
      <c r="P85" s="66"/>
      <c r="Q85" s="66"/>
      <c r="R85" s="66"/>
      <c r="S85" s="58"/>
      <c r="T85" s="58"/>
      <c r="U85" s="58"/>
      <c r="V85" s="58"/>
      <c r="W85" s="58"/>
      <c r="X85" s="58"/>
      <c r="Y85" s="58"/>
      <c r="Z85" s="58"/>
      <c r="AA85" s="49"/>
      <c r="AB85" s="49"/>
      <c r="AC85" s="58"/>
      <c r="AD85" s="58"/>
      <c r="AE85" s="58"/>
      <c r="AF85" s="58"/>
      <c r="AG85" s="58"/>
      <c r="AH85" s="58">
        <v>247.8749</v>
      </c>
      <c r="AI85" s="57">
        <f>AH85*0.2</f>
        <v>49.574980000000004</v>
      </c>
      <c r="AJ85" s="57">
        <f>AH85*0.6+2.488+6.4197+0.24+2.04+31.7101-85.212*2+0.2807+0.0432+0.165-1.02*2-1.074*2+45.4099-24.92*2-0.48-0.416*2+4.4301+10+20+27+49-29.1819*2-7.7322*2-7.2512*2-0.0101*2-0.2871*2-0.081*2</f>
        <v>33.10064000000002</v>
      </c>
      <c r="AK85" s="57">
        <f>AH85*0.2</f>
        <v>49.574980000000004</v>
      </c>
      <c r="AL85" s="56" t="s">
        <v>139</v>
      </c>
    </row>
    <row r="86" spans="1:38" ht="26.25" customHeight="1">
      <c r="A86" s="36">
        <v>82</v>
      </c>
      <c r="B86" s="82" t="s">
        <v>9</v>
      </c>
      <c r="C86" s="64" t="s">
        <v>140</v>
      </c>
      <c r="D86" s="64" t="s">
        <v>70</v>
      </c>
      <c r="E86" s="50">
        <v>45154</v>
      </c>
      <c r="F86" s="65"/>
      <c r="G86" s="49"/>
      <c r="H86" s="49"/>
      <c r="I86" s="58"/>
      <c r="J86" s="58"/>
      <c r="K86" s="58"/>
      <c r="L86" s="66"/>
      <c r="M86" s="66"/>
      <c r="N86" s="66"/>
      <c r="O86" s="66"/>
      <c r="P86" s="66"/>
      <c r="Q86" s="66"/>
      <c r="R86" s="66"/>
      <c r="S86" s="58"/>
      <c r="T86" s="58"/>
      <c r="U86" s="58"/>
      <c r="V86" s="58"/>
      <c r="W86" s="58"/>
      <c r="X86" s="58"/>
      <c r="Y86" s="58"/>
      <c r="Z86" s="58"/>
      <c r="AA86" s="49"/>
      <c r="AB86" s="49"/>
      <c r="AC86" s="58"/>
      <c r="AD86" s="58">
        <v>2.2105000000000001</v>
      </c>
      <c r="AE86" s="58">
        <f>AD86*0.2-0.0903*1.1-0.0314*1.1</f>
        <v>0.30823</v>
      </c>
      <c r="AF86" s="58">
        <f>AD86*0.6-0.0632*1.1</f>
        <v>1.25678</v>
      </c>
      <c r="AG86" s="58">
        <f>AD86*0.2</f>
        <v>0.44210000000000005</v>
      </c>
      <c r="AH86" s="58">
        <v>0.1938</v>
      </c>
      <c r="AI86" s="57">
        <f>AH86*0.2</f>
        <v>3.8760000000000003E-2</v>
      </c>
      <c r="AJ86" s="57">
        <f>AH86*0.6</f>
        <v>0.11627999999999999</v>
      </c>
      <c r="AK86" s="57">
        <f>AH86*0.2</f>
        <v>3.8760000000000003E-2</v>
      </c>
      <c r="AL86" s="45"/>
    </row>
    <row r="87" spans="1:38" s="83" customFormat="1" ht="26.25" customHeight="1">
      <c r="A87" s="36">
        <v>83</v>
      </c>
      <c r="B87" s="68" t="s">
        <v>9</v>
      </c>
      <c r="C87" s="64" t="s">
        <v>26</v>
      </c>
      <c r="D87" s="64" t="s">
        <v>70</v>
      </c>
      <c r="E87" s="50">
        <v>45267</v>
      </c>
      <c r="F87" s="65"/>
      <c r="G87" s="49"/>
      <c r="H87" s="49"/>
      <c r="I87" s="58"/>
      <c r="J87" s="58"/>
      <c r="K87" s="58"/>
      <c r="L87" s="66"/>
      <c r="M87" s="66"/>
      <c r="N87" s="66"/>
      <c r="O87" s="66"/>
      <c r="P87" s="66"/>
      <c r="Q87" s="66"/>
      <c r="R87" s="66"/>
      <c r="S87" s="58"/>
      <c r="T87" s="58"/>
      <c r="U87" s="58"/>
      <c r="V87" s="58"/>
      <c r="W87" s="58"/>
      <c r="X87" s="58"/>
      <c r="Y87" s="58"/>
      <c r="Z87" s="58"/>
      <c r="AA87" s="49"/>
      <c r="AB87" s="49"/>
      <c r="AC87" s="58"/>
      <c r="AD87" s="58">
        <v>225.68</v>
      </c>
      <c r="AE87" s="58">
        <f>AD87*0.2-0.3872*1.1-0.0914*1.1-0.3889*1.1-0.138*1.1-0.0572*1.1-0.0255*1.1-0.0343*1.1-1.5743*1.1-0.0548*1.1-0.035*1.1-0.8535*1.1-0.0341*1.1</f>
        <v>41.094380000000001</v>
      </c>
      <c r="AF87" s="58">
        <f>AD87*0.6-0.019*1.1-0.2109*1.1-4.1012*1.1-0.5653*1.1-1.487*1.1-0.591*1.1</f>
        <v>127.73615999999997</v>
      </c>
      <c r="AG87" s="58">
        <f>AD87*0.2</f>
        <v>45.136000000000003</v>
      </c>
      <c r="AH87" s="58">
        <v>26.594999999999999</v>
      </c>
      <c r="AI87" s="57">
        <f>AH87*0.2</f>
        <v>5.319</v>
      </c>
      <c r="AJ87" s="57">
        <f>AH87*0.6-0.4795*2+0.6077+0.065+0.101+0.166-0.665*2-0.05*2-0.1475*2</f>
        <v>14.2127</v>
      </c>
      <c r="AK87" s="57">
        <f>AH87*0.2</f>
        <v>5.319</v>
      </c>
      <c r="AL87" s="61"/>
    </row>
    <row r="88" spans="1:38" s="84" customFormat="1" ht="26.25" customHeight="1">
      <c r="A88" s="36">
        <v>84</v>
      </c>
      <c r="B88" s="68" t="s">
        <v>9</v>
      </c>
      <c r="C88" s="64" t="s">
        <v>141</v>
      </c>
      <c r="D88" s="64"/>
      <c r="E88" s="50"/>
      <c r="F88" s="65"/>
      <c r="G88" s="49"/>
      <c r="H88" s="49"/>
      <c r="I88" s="58"/>
      <c r="J88" s="58"/>
      <c r="K88" s="58"/>
      <c r="L88" s="66"/>
      <c r="M88" s="66"/>
      <c r="N88" s="66"/>
      <c r="O88" s="66"/>
      <c r="P88" s="66"/>
      <c r="Q88" s="66"/>
      <c r="R88" s="66"/>
      <c r="S88" s="58"/>
      <c r="T88" s="58"/>
      <c r="U88" s="58"/>
      <c r="V88" s="58"/>
      <c r="W88" s="58"/>
      <c r="X88" s="58"/>
      <c r="Y88" s="58"/>
      <c r="Z88" s="58"/>
      <c r="AA88" s="49"/>
      <c r="AB88" s="49"/>
      <c r="AC88" s="58"/>
      <c r="AD88" s="58"/>
      <c r="AE88" s="58"/>
      <c r="AF88" s="58"/>
      <c r="AG88" s="58"/>
      <c r="AH88" s="58"/>
      <c r="AI88" s="57"/>
      <c r="AJ88" s="57">
        <v>4.4301000000000004</v>
      </c>
      <c r="AK88" s="57"/>
      <c r="AL88" s="59"/>
    </row>
    <row r="89" spans="1:38" ht="26.25" customHeight="1">
      <c r="A89" s="36">
        <v>85</v>
      </c>
      <c r="B89" s="68" t="s">
        <v>9</v>
      </c>
      <c r="C89" s="69" t="s">
        <v>95</v>
      </c>
      <c r="D89" s="64"/>
      <c r="E89" s="50"/>
      <c r="F89" s="65"/>
      <c r="G89" s="49"/>
      <c r="H89" s="49"/>
      <c r="I89" s="58"/>
      <c r="J89" s="58"/>
      <c r="K89" s="58"/>
      <c r="L89" s="66"/>
      <c r="M89" s="66"/>
      <c r="N89" s="66"/>
      <c r="O89" s="66"/>
      <c r="P89" s="66"/>
      <c r="Q89" s="66"/>
      <c r="R89" s="66"/>
      <c r="S89" s="58"/>
      <c r="T89" s="58"/>
      <c r="U89" s="58"/>
      <c r="V89" s="58"/>
      <c r="W89" s="58"/>
      <c r="X89" s="58"/>
      <c r="Y89" s="58"/>
      <c r="Z89" s="58"/>
      <c r="AA89" s="49"/>
      <c r="AB89" s="49"/>
      <c r="AC89" s="58"/>
      <c r="AD89" s="58"/>
      <c r="AE89" s="58"/>
      <c r="AF89" s="58"/>
      <c r="AG89" s="58"/>
      <c r="AH89" s="58"/>
      <c r="AI89" s="57"/>
      <c r="AJ89" s="57">
        <v>10</v>
      </c>
      <c r="AK89" s="57"/>
      <c r="AL89" s="45"/>
    </row>
    <row r="90" spans="1:38" ht="26.25" customHeight="1">
      <c r="A90" s="36">
        <v>86</v>
      </c>
      <c r="B90" s="68" t="s">
        <v>9</v>
      </c>
      <c r="C90" s="64" t="s">
        <v>141</v>
      </c>
      <c r="D90" s="64"/>
      <c r="E90" s="50"/>
      <c r="F90" s="65"/>
      <c r="G90" s="49"/>
      <c r="H90" s="49"/>
      <c r="I90" s="58"/>
      <c r="J90" s="58"/>
      <c r="K90" s="58"/>
      <c r="L90" s="66"/>
      <c r="M90" s="66"/>
      <c r="N90" s="66"/>
      <c r="O90" s="66"/>
      <c r="P90" s="66"/>
      <c r="Q90" s="66"/>
      <c r="R90" s="66"/>
      <c r="S90" s="58"/>
      <c r="T90" s="58"/>
      <c r="U90" s="58"/>
      <c r="V90" s="58"/>
      <c r="W90" s="58"/>
      <c r="X90" s="58"/>
      <c r="Y90" s="58"/>
      <c r="Z90" s="58"/>
      <c r="AA90" s="49"/>
      <c r="AB90" s="49"/>
      <c r="AC90" s="58"/>
      <c r="AD90" s="58"/>
      <c r="AE90" s="58"/>
      <c r="AF90" s="58"/>
      <c r="AG90" s="58"/>
      <c r="AH90" s="58"/>
      <c r="AI90" s="57"/>
      <c r="AJ90" s="57">
        <v>20</v>
      </c>
      <c r="AK90" s="57"/>
      <c r="AL90" s="45"/>
    </row>
    <row r="91" spans="1:38" ht="26.25" customHeight="1">
      <c r="A91" s="36">
        <v>87</v>
      </c>
      <c r="B91" s="68" t="s">
        <v>9</v>
      </c>
      <c r="C91" s="69" t="s">
        <v>142</v>
      </c>
      <c r="D91" s="64"/>
      <c r="E91" s="50"/>
      <c r="F91" s="65"/>
      <c r="G91" s="49"/>
      <c r="H91" s="49"/>
      <c r="I91" s="58"/>
      <c r="J91" s="58"/>
      <c r="K91" s="58"/>
      <c r="L91" s="58"/>
      <c r="M91" s="58"/>
      <c r="N91" s="66"/>
      <c r="O91" s="66"/>
      <c r="P91" s="66"/>
      <c r="Q91" s="66"/>
      <c r="R91" s="66"/>
      <c r="S91" s="58"/>
      <c r="T91" s="58"/>
      <c r="U91" s="58"/>
      <c r="V91" s="58"/>
      <c r="W91" s="58"/>
      <c r="X91" s="58"/>
      <c r="Y91" s="58"/>
      <c r="Z91" s="58"/>
      <c r="AA91" s="49"/>
      <c r="AB91" s="49"/>
      <c r="AC91" s="58"/>
      <c r="AD91" s="58"/>
      <c r="AE91" s="58"/>
      <c r="AF91" s="58"/>
      <c r="AG91" s="58"/>
      <c r="AH91" s="58"/>
      <c r="AI91" s="57"/>
      <c r="AJ91" s="57">
        <f>85.2474-28.9407*2</f>
        <v>27.366</v>
      </c>
      <c r="AK91" s="57"/>
      <c r="AL91" s="45"/>
    </row>
    <row r="92" spans="1:38" s="86" customFormat="1" ht="26.25" customHeight="1">
      <c r="A92" s="36">
        <v>88</v>
      </c>
      <c r="B92" s="68" t="s">
        <v>9</v>
      </c>
      <c r="C92" s="69" t="s">
        <v>143</v>
      </c>
      <c r="D92" s="64"/>
      <c r="E92" s="50"/>
      <c r="F92" s="65"/>
      <c r="G92" s="49"/>
      <c r="H92" s="49"/>
      <c r="I92" s="58"/>
      <c r="J92" s="58"/>
      <c r="K92" s="58"/>
      <c r="L92" s="66"/>
      <c r="M92" s="66"/>
      <c r="N92" s="66"/>
      <c r="O92" s="66"/>
      <c r="P92" s="66"/>
      <c r="Q92" s="66"/>
      <c r="R92" s="66"/>
      <c r="S92" s="58"/>
      <c r="T92" s="58"/>
      <c r="U92" s="58"/>
      <c r="V92" s="58"/>
      <c r="W92" s="58"/>
      <c r="X92" s="58"/>
      <c r="Y92" s="58"/>
      <c r="Z92" s="58"/>
      <c r="AA92" s="49"/>
      <c r="AB92" s="49"/>
      <c r="AC92" s="58"/>
      <c r="AD92" s="58"/>
      <c r="AE92" s="58"/>
      <c r="AF92" s="58"/>
      <c r="AG92" s="58"/>
      <c r="AH92" s="58"/>
      <c r="AI92" s="57"/>
      <c r="AJ92" s="57">
        <v>49</v>
      </c>
      <c r="AK92" s="57"/>
      <c r="AL92" s="85"/>
    </row>
    <row r="93" spans="1:38" s="86" customFormat="1" ht="26.25" customHeight="1">
      <c r="A93" s="36">
        <v>89</v>
      </c>
      <c r="B93" s="82" t="s">
        <v>9</v>
      </c>
      <c r="C93" s="69" t="s">
        <v>144</v>
      </c>
      <c r="D93" s="64"/>
      <c r="E93" s="50"/>
      <c r="F93" s="65"/>
      <c r="G93" s="49"/>
      <c r="H93" s="49"/>
      <c r="I93" s="58"/>
      <c r="J93" s="58"/>
      <c r="K93" s="58"/>
      <c r="L93" s="66"/>
      <c r="M93" s="66"/>
      <c r="N93" s="66"/>
      <c r="O93" s="66"/>
      <c r="P93" s="66">
        <v>0.9</v>
      </c>
      <c r="Q93" s="66"/>
      <c r="R93" s="66"/>
      <c r="S93" s="58"/>
      <c r="T93" s="58"/>
      <c r="U93" s="58"/>
      <c r="V93" s="58"/>
      <c r="W93" s="58"/>
      <c r="X93" s="58"/>
      <c r="Y93" s="58"/>
      <c r="Z93" s="58"/>
      <c r="AA93" s="49"/>
      <c r="AB93" s="49"/>
      <c r="AC93" s="58"/>
      <c r="AD93" s="58"/>
      <c r="AE93" s="58"/>
      <c r="AF93" s="58"/>
      <c r="AG93" s="58"/>
      <c r="AH93" s="58"/>
      <c r="AI93" s="57"/>
      <c r="AJ93" s="57"/>
      <c r="AK93" s="57"/>
      <c r="AL93" s="85"/>
    </row>
    <row r="94" spans="1:38" s="86" customFormat="1" ht="26.25" customHeight="1">
      <c r="A94" s="36">
        <v>90</v>
      </c>
      <c r="B94" s="82" t="s">
        <v>9</v>
      </c>
      <c r="C94" s="64" t="s">
        <v>145</v>
      </c>
      <c r="D94" s="64" t="s">
        <v>70</v>
      </c>
      <c r="E94" s="50">
        <v>45674</v>
      </c>
      <c r="F94" s="87">
        <v>426.52</v>
      </c>
      <c r="G94" s="51">
        <f>F94*0.2</f>
        <v>85.304000000000002</v>
      </c>
      <c r="H94" s="51">
        <f>F94*0.6</f>
        <v>255.91199999999998</v>
      </c>
      <c r="I94" s="58">
        <f>F94*0.2</f>
        <v>85.304000000000002</v>
      </c>
      <c r="J94" s="49">
        <v>44.99</v>
      </c>
      <c r="K94" s="58">
        <f>J94*0.2</f>
        <v>8.9980000000000011</v>
      </c>
      <c r="L94" s="66">
        <f>J94*0.6</f>
        <v>26.994</v>
      </c>
      <c r="M94" s="66">
        <f>J94*0.2</f>
        <v>8.9980000000000011</v>
      </c>
      <c r="N94" s="88">
        <v>70.28</v>
      </c>
      <c r="O94" s="89">
        <f>N94*0.2</f>
        <v>14.056000000000001</v>
      </c>
      <c r="P94" s="66">
        <f>N94*0.6</f>
        <v>42.167999999999999</v>
      </c>
      <c r="Q94" s="66">
        <f>N94*0.2</f>
        <v>14.056000000000001</v>
      </c>
      <c r="R94" s="88">
        <v>19.600000000000001</v>
      </c>
      <c r="S94" s="58">
        <f>R94*0.2</f>
        <v>3.9200000000000004</v>
      </c>
      <c r="T94" s="58">
        <f>R94*0.6</f>
        <v>11.76</v>
      </c>
      <c r="U94" s="58">
        <f>R94*0.2</f>
        <v>3.9200000000000004</v>
      </c>
      <c r="V94" s="58"/>
      <c r="W94" s="58"/>
      <c r="X94" s="58"/>
      <c r="Y94" s="58"/>
      <c r="Z94" s="58"/>
      <c r="AA94" s="49"/>
      <c r="AB94" s="49"/>
      <c r="AC94" s="58"/>
      <c r="AD94" s="58"/>
      <c r="AE94" s="58"/>
      <c r="AF94" s="58"/>
      <c r="AG94" s="58"/>
      <c r="AH94" s="58"/>
      <c r="AI94" s="57"/>
      <c r="AJ94" s="57"/>
      <c r="AK94" s="57"/>
      <c r="AL94" s="85"/>
    </row>
    <row r="95" spans="1:38" s="86" customFormat="1" ht="26.25" customHeight="1">
      <c r="A95" s="36">
        <v>91</v>
      </c>
      <c r="B95" s="37" t="s">
        <v>146</v>
      </c>
      <c r="C95" s="39" t="s">
        <v>147</v>
      </c>
      <c r="D95" s="39" t="s">
        <v>70</v>
      </c>
      <c r="E95" s="39" t="s">
        <v>116</v>
      </c>
      <c r="F95" s="41"/>
      <c r="G95" s="42"/>
      <c r="H95" s="42"/>
      <c r="I95" s="42"/>
      <c r="J95" s="42"/>
      <c r="K95" s="42"/>
      <c r="L95" s="43"/>
      <c r="M95" s="43"/>
      <c r="N95" s="43"/>
      <c r="O95" s="43"/>
      <c r="P95" s="43"/>
      <c r="Q95" s="43"/>
      <c r="R95" s="43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>
        <v>1.1000000000000001</v>
      </c>
      <c r="AI95" s="44">
        <v>0</v>
      </c>
      <c r="AJ95" s="44">
        <f>AH95*0.6-0.21*2-0.24</f>
        <v>0</v>
      </c>
      <c r="AK95" s="44">
        <f>AH95*0.2</f>
        <v>0.22000000000000003</v>
      </c>
      <c r="AL95" s="85"/>
    </row>
    <row r="96" spans="1:38" s="86" customFormat="1" ht="26.25" customHeight="1">
      <c r="A96" s="36">
        <v>92</v>
      </c>
      <c r="B96" s="37" t="s">
        <v>146</v>
      </c>
      <c r="C96" s="39" t="s">
        <v>148</v>
      </c>
      <c r="D96" s="39" t="s">
        <v>70</v>
      </c>
      <c r="E96" s="39" t="s">
        <v>116</v>
      </c>
      <c r="F96" s="41"/>
      <c r="G96" s="42"/>
      <c r="H96" s="42"/>
      <c r="I96" s="42"/>
      <c r="J96" s="42"/>
      <c r="K96" s="42"/>
      <c r="L96" s="43"/>
      <c r="M96" s="43"/>
      <c r="N96" s="43"/>
      <c r="O96" s="43"/>
      <c r="P96" s="43"/>
      <c r="Q96" s="43"/>
      <c r="R96" s="43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>
        <v>3.4</v>
      </c>
      <c r="AI96" s="75">
        <f>0.165-0.165</f>
        <v>0</v>
      </c>
      <c r="AJ96" s="44">
        <f>AH96*0.6-2.04</f>
        <v>0</v>
      </c>
      <c r="AK96" s="44">
        <f>AH96*0.2</f>
        <v>0.68</v>
      </c>
      <c r="AL96" s="90" t="s">
        <v>149</v>
      </c>
    </row>
    <row r="97" spans="1:38" s="86" customFormat="1" ht="26.25" customHeight="1">
      <c r="A97" s="36">
        <v>93</v>
      </c>
      <c r="B97" s="37" t="s">
        <v>146</v>
      </c>
      <c r="C97" s="38" t="s">
        <v>50</v>
      </c>
      <c r="D97" s="39" t="s">
        <v>70</v>
      </c>
      <c r="E97" s="40">
        <v>45155</v>
      </c>
      <c r="F97" s="41"/>
      <c r="G97" s="42"/>
      <c r="H97" s="42"/>
      <c r="I97" s="42"/>
      <c r="J97" s="42"/>
      <c r="K97" s="42"/>
      <c r="L97" s="43"/>
      <c r="M97" s="43"/>
      <c r="N97" s="43"/>
      <c r="O97" s="43"/>
      <c r="P97" s="43"/>
      <c r="Q97" s="43"/>
      <c r="R97" s="43"/>
      <c r="S97" s="42"/>
      <c r="T97" s="42"/>
      <c r="U97" s="42"/>
      <c r="V97" s="42">
        <v>2.16</v>
      </c>
      <c r="W97" s="42">
        <f>V97*0.2-0.021*1.1-0.04*1.1-0.1*1.1-0.01*1.1</f>
        <v>0.24390000000000001</v>
      </c>
      <c r="X97" s="42">
        <f>V97*0.6-0.0757*1.1</f>
        <v>1.2127300000000001</v>
      </c>
      <c r="Y97" s="42">
        <f>V97*0.2</f>
        <v>0.43200000000000005</v>
      </c>
      <c r="Z97" s="42">
        <v>2.2400000000000002</v>
      </c>
      <c r="AA97" s="42">
        <f>Z97*0.2-0.0641*1.2-0.3711</f>
        <v>-1.9999999999908979E-5</v>
      </c>
      <c r="AB97" s="42">
        <f>Z97*0.6-0.3539*1.2-0.0655*1.2</f>
        <v>0.84072000000000013</v>
      </c>
      <c r="AC97" s="42">
        <f>Z97*0.2</f>
        <v>0.44800000000000006</v>
      </c>
      <c r="AD97" s="42">
        <v>10.714</v>
      </c>
      <c r="AE97" s="42">
        <f>AD97*0.2-1.076*1.1-0.138*1.1-0.038*1.1-0.1269*1.1-0.0286*1.1-0.5946</f>
        <v>-4.9999999999994493E-5</v>
      </c>
      <c r="AF97" s="42">
        <f>AD97*0.6-0.451*1.1-0.106*1.1-0.829*1.1-0.95*1.1-0.4239*1.1</f>
        <v>3.3925099999999997</v>
      </c>
      <c r="AG97" s="42">
        <f>AD97*0.2</f>
        <v>2.1428000000000003</v>
      </c>
      <c r="AH97" s="42"/>
      <c r="AI97" s="44"/>
      <c r="AJ97" s="44"/>
      <c r="AK97" s="44"/>
      <c r="AL97" s="90" t="s">
        <v>150</v>
      </c>
    </row>
    <row r="98" spans="1:38" s="86" customFormat="1" ht="26.25" customHeight="1">
      <c r="A98" s="36">
        <v>94</v>
      </c>
      <c r="B98" s="37" t="s">
        <v>146</v>
      </c>
      <c r="C98" s="38" t="s">
        <v>151</v>
      </c>
      <c r="D98" s="39" t="s">
        <v>70</v>
      </c>
      <c r="E98" s="40">
        <v>45196</v>
      </c>
      <c r="F98" s="41"/>
      <c r="G98" s="42"/>
      <c r="H98" s="42"/>
      <c r="I98" s="42"/>
      <c r="J98" s="42"/>
      <c r="K98" s="42"/>
      <c r="L98" s="43"/>
      <c r="M98" s="43"/>
      <c r="N98" s="43"/>
      <c r="O98" s="43"/>
      <c r="P98" s="43"/>
      <c r="Q98" s="43"/>
      <c r="R98" s="43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>
        <v>48.991999999999997</v>
      </c>
      <c r="AI98" s="44">
        <f>AH98*0.2-0.6208*2-8.5568</f>
        <v>0</v>
      </c>
      <c r="AJ98" s="44">
        <f>AH98*0.6-29.3952</f>
        <v>0</v>
      </c>
      <c r="AK98" s="44">
        <f t="shared" ref="AK98:AK104" si="3">AH98*0.2</f>
        <v>9.7984000000000009</v>
      </c>
      <c r="AL98" s="90" t="s">
        <v>150</v>
      </c>
    </row>
    <row r="99" spans="1:38" s="86" customFormat="1" ht="26.25" customHeight="1">
      <c r="A99" s="36">
        <v>95</v>
      </c>
      <c r="B99" s="37" t="s">
        <v>146</v>
      </c>
      <c r="C99" s="38" t="s">
        <v>34</v>
      </c>
      <c r="D99" s="39" t="s">
        <v>70</v>
      </c>
      <c r="E99" s="40">
        <v>45264</v>
      </c>
      <c r="F99" s="41"/>
      <c r="G99" s="42"/>
      <c r="H99" s="42"/>
      <c r="I99" s="42"/>
      <c r="J99" s="42"/>
      <c r="K99" s="42"/>
      <c r="L99" s="43"/>
      <c r="M99" s="43"/>
      <c r="N99" s="43"/>
      <c r="O99" s="43"/>
      <c r="P99" s="43"/>
      <c r="Q99" s="43"/>
      <c r="R99" s="43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>
        <v>4.9619999999999997</v>
      </c>
      <c r="AI99" s="44">
        <f>AH99*0.2-0.4726*2-0.0472</f>
        <v>-9.0205620750793969E-17</v>
      </c>
      <c r="AJ99" s="44">
        <f>AH99*0.6+0.0472-0.72*2-0.2069*2-1.1706</f>
        <v>0</v>
      </c>
      <c r="AK99" s="44">
        <f t="shared" si="3"/>
        <v>0.99239999999999995</v>
      </c>
      <c r="AL99" s="90" t="s">
        <v>152</v>
      </c>
    </row>
    <row r="100" spans="1:38" s="86" customFormat="1" ht="26.25" customHeight="1">
      <c r="A100" s="36">
        <v>96</v>
      </c>
      <c r="B100" s="37" t="s">
        <v>146</v>
      </c>
      <c r="C100" s="38" t="s">
        <v>47</v>
      </c>
      <c r="D100" s="39" t="s">
        <v>70</v>
      </c>
      <c r="E100" s="40">
        <v>45264</v>
      </c>
      <c r="F100" s="41"/>
      <c r="G100" s="42"/>
      <c r="H100" s="42"/>
      <c r="I100" s="42"/>
      <c r="J100" s="42"/>
      <c r="K100" s="42"/>
      <c r="L100" s="43"/>
      <c r="M100" s="43"/>
      <c r="N100" s="43"/>
      <c r="O100" s="43"/>
      <c r="P100" s="43"/>
      <c r="Q100" s="43"/>
      <c r="R100" s="43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>
        <v>3.5870000000000002</v>
      </c>
      <c r="AI100" s="44">
        <f>AH100*0.2-0.22*2+2.4392-1.3126*2-0.0914</f>
        <v>1.5265566588595902E-16</v>
      </c>
      <c r="AJ100" s="44">
        <f>AH100*0.6-0.323*2-0.1951*2+1.1706-0.66*2</f>
        <v>0.9665999999999999</v>
      </c>
      <c r="AK100" s="44">
        <f t="shared" si="3"/>
        <v>0.71740000000000004</v>
      </c>
      <c r="AL100" s="90" t="s">
        <v>153</v>
      </c>
    </row>
    <row r="101" spans="1:38" s="86" customFormat="1" ht="26.25" customHeight="1">
      <c r="A101" s="36">
        <v>97</v>
      </c>
      <c r="B101" s="37" t="s">
        <v>146</v>
      </c>
      <c r="C101" s="38" t="s">
        <v>52</v>
      </c>
      <c r="D101" s="39" t="s">
        <v>70</v>
      </c>
      <c r="E101" s="40">
        <v>45264</v>
      </c>
      <c r="F101" s="41"/>
      <c r="G101" s="42"/>
      <c r="H101" s="42"/>
      <c r="I101" s="42"/>
      <c r="J101" s="42"/>
      <c r="K101" s="42"/>
      <c r="L101" s="43"/>
      <c r="M101" s="43"/>
      <c r="N101" s="43"/>
      <c r="O101" s="43"/>
      <c r="P101" s="43"/>
      <c r="Q101" s="43"/>
      <c r="R101" s="43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>
        <v>5.74</v>
      </c>
      <c r="AI101" s="44">
        <f>AH101*0.2+5.7126-2.9*2-0.0562*2+0.0914-0.0947*2+0.7042-0.6983*2-0.0392*2</f>
        <v>7.9399999999999721E-2</v>
      </c>
      <c r="AJ101" s="44">
        <f>AH101*0.6-1.4447*2</f>
        <v>0.55459999999999976</v>
      </c>
      <c r="AK101" s="44">
        <f t="shared" si="3"/>
        <v>1.1480000000000001</v>
      </c>
      <c r="AL101" s="85"/>
    </row>
    <row r="102" spans="1:38" ht="33.75" customHeight="1">
      <c r="A102" s="36">
        <v>98</v>
      </c>
      <c r="B102" s="37" t="s">
        <v>146</v>
      </c>
      <c r="C102" s="38" t="s">
        <v>154</v>
      </c>
      <c r="D102" s="38" t="s">
        <v>70</v>
      </c>
      <c r="E102" s="71">
        <v>45267</v>
      </c>
      <c r="F102" s="72"/>
      <c r="G102" s="73"/>
      <c r="H102" s="73"/>
      <c r="I102" s="73"/>
      <c r="J102" s="73"/>
      <c r="K102" s="73"/>
      <c r="L102" s="74"/>
      <c r="M102" s="74"/>
      <c r="N102" s="74"/>
      <c r="O102" s="74"/>
      <c r="P102" s="74"/>
      <c r="Q102" s="74"/>
      <c r="R102" s="74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>
        <v>39.893000000000001</v>
      </c>
      <c r="AI102" s="75">
        <f>AH102*0.2-0.268*2-0.24*2-0.625*2-5.7126</f>
        <v>0</v>
      </c>
      <c r="AJ102" s="75">
        <f>AH102*0.6-4.4301</f>
        <v>19.505700000000001</v>
      </c>
      <c r="AK102" s="75">
        <f t="shared" si="3"/>
        <v>7.9786000000000001</v>
      </c>
      <c r="AL102" s="45"/>
    </row>
    <row r="103" spans="1:38" ht="33.75" customHeight="1">
      <c r="A103" s="36">
        <v>99</v>
      </c>
      <c r="B103" s="37" t="s">
        <v>146</v>
      </c>
      <c r="C103" s="38" t="s">
        <v>155</v>
      </c>
      <c r="D103" s="38" t="s">
        <v>70</v>
      </c>
      <c r="E103" s="71">
        <v>45313.636493055557</v>
      </c>
      <c r="F103" s="72"/>
      <c r="G103" s="73"/>
      <c r="H103" s="73"/>
      <c r="I103" s="73"/>
      <c r="J103" s="73"/>
      <c r="K103" s="73"/>
      <c r="L103" s="74"/>
      <c r="M103" s="74"/>
      <c r="N103" s="74"/>
      <c r="O103" s="74"/>
      <c r="P103" s="74"/>
      <c r="Q103" s="74"/>
      <c r="R103" s="74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>
        <v>23.936</v>
      </c>
      <c r="AI103" s="75">
        <f>AH103*0.2-1.15*2-0.024*2-2.4392</f>
        <v>0</v>
      </c>
      <c r="AJ103" s="75">
        <f>AH103*0.6-0.1314*2</f>
        <v>14.098799999999999</v>
      </c>
      <c r="AK103" s="75">
        <f t="shared" si="3"/>
        <v>4.7872000000000003</v>
      </c>
      <c r="AL103" s="45"/>
    </row>
    <row r="104" spans="1:38" ht="33.75" customHeight="1">
      <c r="A104" s="36">
        <v>100</v>
      </c>
      <c r="B104" s="37" t="s">
        <v>146</v>
      </c>
      <c r="C104" s="38" t="s">
        <v>156</v>
      </c>
      <c r="D104" s="38" t="s">
        <v>70</v>
      </c>
      <c r="E104" s="71">
        <v>45405</v>
      </c>
      <c r="F104" s="72"/>
      <c r="G104" s="73"/>
      <c r="H104" s="73"/>
      <c r="I104" s="73"/>
      <c r="J104" s="73"/>
      <c r="K104" s="73"/>
      <c r="L104" s="74"/>
      <c r="M104" s="74"/>
      <c r="N104" s="74"/>
      <c r="O104" s="74"/>
      <c r="P104" s="74"/>
      <c r="Q104" s="74"/>
      <c r="R104" s="74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>
        <v>20.503</v>
      </c>
      <c r="AE104" s="73">
        <f>AD104*0.2-1.1*1.1-1.228*1.1-0.1958*1.1-1.3244</f>
        <v>1.9999999999908979E-5</v>
      </c>
      <c r="AF104" s="73">
        <f>AD104*0.6</f>
        <v>12.3018</v>
      </c>
      <c r="AG104" s="73">
        <f>AD104*0.2</f>
        <v>4.1006</v>
      </c>
      <c r="AH104" s="73" t="s">
        <v>157</v>
      </c>
      <c r="AI104" s="75">
        <f>AH104*0.2-0.0117*2-0.176*2-0.04*2-0.7042</f>
        <v>0</v>
      </c>
      <c r="AJ104" s="75">
        <f>AH104*0.6</f>
        <v>3.4788000000000001</v>
      </c>
      <c r="AK104" s="75">
        <f t="shared" si="3"/>
        <v>1.1596</v>
      </c>
      <c r="AL104" s="45"/>
    </row>
    <row r="105" spans="1:38" ht="33.75" customHeight="1">
      <c r="A105" s="36">
        <v>101</v>
      </c>
      <c r="B105" s="37" t="s">
        <v>146</v>
      </c>
      <c r="C105" s="91" t="s">
        <v>158</v>
      </c>
      <c r="D105" s="38" t="s">
        <v>70</v>
      </c>
      <c r="E105" s="92">
        <v>45469</v>
      </c>
      <c r="F105" s="72"/>
      <c r="G105" s="73"/>
      <c r="H105" s="73"/>
      <c r="I105" s="73"/>
      <c r="J105" s="73"/>
      <c r="K105" s="73"/>
      <c r="L105" s="74"/>
      <c r="M105" s="74"/>
      <c r="N105" s="74"/>
      <c r="O105" s="74"/>
      <c r="P105" s="74"/>
      <c r="Q105" s="74"/>
      <c r="R105" s="74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>
        <v>0.69</v>
      </c>
      <c r="AE105" s="73">
        <f>AD105*0.2-0.138</f>
        <v>0</v>
      </c>
      <c r="AF105" s="73">
        <f>AD105*0.6</f>
        <v>0.41399999999999998</v>
      </c>
      <c r="AG105" s="73">
        <f>AD105*0.2</f>
        <v>0.13799999999999998</v>
      </c>
      <c r="AH105" s="73"/>
      <c r="AI105" s="75"/>
      <c r="AJ105" s="75"/>
      <c r="AK105" s="75"/>
      <c r="AL105" s="45"/>
    </row>
    <row r="106" spans="1:38" ht="33.75" customHeight="1">
      <c r="A106" s="36">
        <v>102</v>
      </c>
      <c r="B106" s="37" t="s">
        <v>146</v>
      </c>
      <c r="C106" s="91" t="s">
        <v>159</v>
      </c>
      <c r="D106" s="38" t="s">
        <v>70</v>
      </c>
      <c r="E106" s="92">
        <v>45625</v>
      </c>
      <c r="F106" s="72"/>
      <c r="G106" s="73"/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3"/>
      <c r="T106" s="73"/>
      <c r="U106" s="73"/>
      <c r="V106" s="73">
        <v>0.2</v>
      </c>
      <c r="W106" s="73">
        <f>V106*0.2</f>
        <v>4.0000000000000008E-2</v>
      </c>
      <c r="X106" s="73">
        <f>V106*0.6</f>
        <v>0.12</v>
      </c>
      <c r="Y106" s="73">
        <f>V106*0.2</f>
        <v>4.0000000000000008E-2</v>
      </c>
      <c r="Z106" s="73">
        <v>0.94</v>
      </c>
      <c r="AA106" s="73">
        <f>Z106*0.2</f>
        <v>0.188</v>
      </c>
      <c r="AB106" s="73">
        <f>Z106*0.6</f>
        <v>0.56399999999999995</v>
      </c>
      <c r="AC106" s="73">
        <f>Z106*0.2</f>
        <v>0.188</v>
      </c>
      <c r="AD106" s="73">
        <v>0.28000000000000003</v>
      </c>
      <c r="AE106" s="73">
        <f>AD106*0.2</f>
        <v>5.6000000000000008E-2</v>
      </c>
      <c r="AF106" s="73">
        <f>AD106*0.6</f>
        <v>0.16800000000000001</v>
      </c>
      <c r="AG106" s="73">
        <f>AD106*0.2</f>
        <v>5.6000000000000008E-2</v>
      </c>
      <c r="AH106" s="73">
        <v>7.4999999999999997E-2</v>
      </c>
      <c r="AI106" s="75">
        <f>AH106*0.2</f>
        <v>1.4999999999999999E-2</v>
      </c>
      <c r="AJ106" s="75">
        <f>AH106*0.6</f>
        <v>4.4999999999999998E-2</v>
      </c>
      <c r="AK106" s="75">
        <f>AH106*0.2</f>
        <v>1.4999999999999999E-2</v>
      </c>
      <c r="AL106" s="45"/>
    </row>
    <row r="107" spans="1:38" ht="33.75" customHeight="1">
      <c r="A107" s="36">
        <v>103</v>
      </c>
      <c r="B107" s="37" t="s">
        <v>146</v>
      </c>
      <c r="C107" s="91" t="s">
        <v>51</v>
      </c>
      <c r="D107" s="38" t="s">
        <v>70</v>
      </c>
      <c r="E107" s="92">
        <v>45660</v>
      </c>
      <c r="F107" s="72"/>
      <c r="G107" s="73"/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3"/>
      <c r="T107" s="73"/>
      <c r="U107" s="73"/>
      <c r="V107" s="73">
        <v>0.44</v>
      </c>
      <c r="W107" s="73">
        <f>V107*0.2</f>
        <v>8.8000000000000009E-2</v>
      </c>
      <c r="X107" s="73">
        <f>V107*0.6</f>
        <v>0.26400000000000001</v>
      </c>
      <c r="Y107" s="73">
        <f>V107*0.2</f>
        <v>8.8000000000000009E-2</v>
      </c>
      <c r="Z107" s="73" t="s">
        <v>160</v>
      </c>
      <c r="AA107" s="73">
        <f>Z107*0.2</f>
        <v>0.41159999999999997</v>
      </c>
      <c r="AB107" s="73">
        <f>Z107*0.6</f>
        <v>1.2347999999999999</v>
      </c>
      <c r="AC107" s="73">
        <f>Z107*0.2</f>
        <v>0.41159999999999997</v>
      </c>
      <c r="AD107" s="73" t="s">
        <v>161</v>
      </c>
      <c r="AE107" s="73">
        <f>AD107*0.2</f>
        <v>0.26800000000000002</v>
      </c>
      <c r="AF107" s="73">
        <f>AD107*0.6-0.1954*1.1</f>
        <v>0.58906000000000003</v>
      </c>
      <c r="AG107" s="73">
        <f>AD107*0.2</f>
        <v>0.26800000000000002</v>
      </c>
      <c r="AH107" s="73" t="s">
        <v>162</v>
      </c>
      <c r="AI107" s="75">
        <f>AH107*0.2</f>
        <v>0.14499999999999999</v>
      </c>
      <c r="AJ107" s="75">
        <f>AH107*0.6</f>
        <v>0.435</v>
      </c>
      <c r="AK107" s="75">
        <f>AH107*0.2</f>
        <v>0.14499999999999999</v>
      </c>
      <c r="AL107" s="45"/>
    </row>
    <row r="108" spans="1:38" ht="33.75" customHeight="1">
      <c r="A108" s="36">
        <v>104</v>
      </c>
      <c r="B108" s="37" t="s">
        <v>146</v>
      </c>
      <c r="C108" s="93" t="s">
        <v>163</v>
      </c>
      <c r="D108" s="38" t="s">
        <v>70</v>
      </c>
      <c r="E108" s="92">
        <v>45674</v>
      </c>
      <c r="F108" s="72"/>
      <c r="G108" s="73"/>
      <c r="H108" s="73"/>
      <c r="I108" s="73"/>
      <c r="J108" s="73"/>
      <c r="K108" s="73"/>
      <c r="L108" s="74"/>
      <c r="M108" s="74"/>
      <c r="N108" s="74"/>
      <c r="O108" s="74"/>
      <c r="P108" s="74"/>
      <c r="Q108" s="74"/>
      <c r="R108" s="74"/>
      <c r="S108" s="73"/>
      <c r="T108" s="73"/>
      <c r="U108" s="73"/>
      <c r="V108" s="73" t="s">
        <v>164</v>
      </c>
      <c r="W108" s="73">
        <f>V108*0.2</f>
        <v>46.032000000000004</v>
      </c>
      <c r="X108" s="73">
        <f>V108*0.6-0.04*1.1-0.499*1.1</f>
        <v>137.50309999999999</v>
      </c>
      <c r="Y108" s="73">
        <f>V108*0.2</f>
        <v>46.032000000000004</v>
      </c>
      <c r="Z108" s="73" t="s">
        <v>165</v>
      </c>
      <c r="AA108" s="73">
        <f>Z108*0.2</f>
        <v>14.342400000000001</v>
      </c>
      <c r="AB108" s="73">
        <f>Z108*0.6-0.1872*1.2-3.556*1.2</f>
        <v>38.535359999999997</v>
      </c>
      <c r="AC108" s="73">
        <f>Z108*0.2</f>
        <v>14.342400000000001</v>
      </c>
      <c r="AD108" s="73" t="s">
        <v>166</v>
      </c>
      <c r="AE108" s="73">
        <f>AD108*0.2-0.1733-0.3396*1.1</f>
        <v>11.503140000000002</v>
      </c>
      <c r="AF108" s="73">
        <f>AD108*0.6</f>
        <v>36.15</v>
      </c>
      <c r="AG108" s="73">
        <f>AD108*0.2</f>
        <v>12.05</v>
      </c>
      <c r="AH108" s="73"/>
      <c r="AI108" s="75"/>
      <c r="AJ108" s="75"/>
      <c r="AK108" s="75"/>
      <c r="AL108" s="45"/>
    </row>
    <row r="109" spans="1:38" ht="33.75" customHeight="1">
      <c r="A109" s="36">
        <v>106</v>
      </c>
      <c r="B109" s="37" t="s">
        <v>167</v>
      </c>
      <c r="C109" s="39" t="s">
        <v>168</v>
      </c>
      <c r="D109" s="39" t="s">
        <v>70</v>
      </c>
      <c r="E109" s="40">
        <v>45125</v>
      </c>
      <c r="F109" s="41">
        <v>1.0389999999999999</v>
      </c>
      <c r="G109" s="42">
        <f>F109*0.2</f>
        <v>0.20779999999999998</v>
      </c>
      <c r="H109" s="42">
        <f>F109*0.6</f>
        <v>0.62339999999999995</v>
      </c>
      <c r="I109" s="42">
        <f>F109*0.2</f>
        <v>0.20779999999999998</v>
      </c>
      <c r="J109" s="42">
        <v>4.4000000000000003E-3</v>
      </c>
      <c r="K109" s="42">
        <f>J109*0.2</f>
        <v>8.8000000000000014E-4</v>
      </c>
      <c r="L109" s="43">
        <f>J109*0.6</f>
        <v>2.64E-3</v>
      </c>
      <c r="M109" s="43">
        <f>J109*0.2</f>
        <v>8.8000000000000014E-4</v>
      </c>
      <c r="N109" s="43">
        <v>0.1134</v>
      </c>
      <c r="O109" s="43">
        <f>N109*0.2</f>
        <v>2.2680000000000002E-2</v>
      </c>
      <c r="P109" s="43">
        <f>N109*0.6</f>
        <v>6.8040000000000003E-2</v>
      </c>
      <c r="Q109" s="43">
        <f>N109*0.2</f>
        <v>2.2680000000000002E-2</v>
      </c>
      <c r="R109" s="43">
        <v>3.3999999999999998E-3</v>
      </c>
      <c r="S109" s="42">
        <f>R109*0.2</f>
        <v>6.8000000000000005E-4</v>
      </c>
      <c r="T109" s="42">
        <f>R109*0.6</f>
        <v>2.0399999999999997E-3</v>
      </c>
      <c r="U109" s="42">
        <f>R109*0.2</f>
        <v>6.8000000000000005E-4</v>
      </c>
      <c r="V109" s="58"/>
      <c r="W109" s="58"/>
      <c r="X109" s="58"/>
      <c r="Y109" s="58"/>
      <c r="Z109" s="58"/>
      <c r="AA109" s="51"/>
      <c r="AB109" s="49"/>
      <c r="AC109" s="58"/>
      <c r="AD109" s="58"/>
      <c r="AE109" s="58"/>
      <c r="AF109" s="58"/>
      <c r="AG109" s="58"/>
      <c r="AH109" s="42"/>
      <c r="AI109" s="44"/>
      <c r="AJ109" s="44"/>
      <c r="AK109" s="44"/>
      <c r="AL109" s="45"/>
    </row>
    <row r="110" spans="1:38" s="94" customFormat="1" ht="33.75" customHeight="1">
      <c r="A110" s="36">
        <v>107</v>
      </c>
      <c r="B110" s="37" t="s">
        <v>167</v>
      </c>
      <c r="C110" s="38" t="s">
        <v>169</v>
      </c>
      <c r="D110" s="39" t="s">
        <v>70</v>
      </c>
      <c r="E110" s="40">
        <v>45196</v>
      </c>
      <c r="F110" s="41"/>
      <c r="G110" s="42"/>
      <c r="H110" s="42"/>
      <c r="I110" s="42"/>
      <c r="J110" s="42"/>
      <c r="K110" s="42"/>
      <c r="L110" s="43"/>
      <c r="M110" s="43"/>
      <c r="N110" s="43"/>
      <c r="O110" s="43"/>
      <c r="P110" s="43"/>
      <c r="Q110" s="43"/>
      <c r="R110" s="43"/>
      <c r="S110" s="42"/>
      <c r="T110" s="42"/>
      <c r="U110" s="42"/>
      <c r="V110" s="58"/>
      <c r="W110" s="58"/>
      <c r="X110" s="58"/>
      <c r="Y110" s="58"/>
      <c r="Z110" s="58"/>
      <c r="AA110" s="51"/>
      <c r="AB110" s="49"/>
      <c r="AC110" s="58"/>
      <c r="AD110" s="58">
        <v>8.91</v>
      </c>
      <c r="AE110" s="58">
        <f>AD110*0.2-1.782</f>
        <v>0</v>
      </c>
      <c r="AF110" s="58">
        <f>AD110*0.6-1.7837*1.1+2.3807-4.8*1.1</f>
        <v>0.48463000000000012</v>
      </c>
      <c r="AG110" s="58">
        <f>AD110*0.2</f>
        <v>1.782</v>
      </c>
      <c r="AH110" s="42">
        <v>14.182</v>
      </c>
      <c r="AI110" s="44">
        <f>AH110*0.2-0.6185*2-0.7674-0.416*2</f>
        <v>0</v>
      </c>
      <c r="AJ110" s="44">
        <f>AH110*0.6-1.4305*2-5.1682-0.24*2</f>
        <v>-4.4408920985006262E-16</v>
      </c>
      <c r="AK110" s="44">
        <f>AH110*0.2</f>
        <v>2.8364000000000003</v>
      </c>
      <c r="AL110" s="59"/>
    </row>
    <row r="111" spans="1:38" s="1" customFormat="1" ht="33.75" customHeight="1">
      <c r="A111" s="36">
        <v>108</v>
      </c>
      <c r="B111" s="37" t="s">
        <v>167</v>
      </c>
      <c r="C111" s="38" t="s">
        <v>170</v>
      </c>
      <c r="D111" s="38" t="s">
        <v>70</v>
      </c>
      <c r="E111" s="71">
        <v>45267</v>
      </c>
      <c r="F111" s="72"/>
      <c r="G111" s="73"/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3"/>
      <c r="T111" s="73"/>
      <c r="U111" s="73"/>
      <c r="V111" s="95"/>
      <c r="W111" s="95"/>
      <c r="X111" s="95"/>
      <c r="Y111" s="95"/>
      <c r="Z111" s="95"/>
      <c r="AA111" s="77"/>
      <c r="AB111" s="76"/>
      <c r="AC111" s="95"/>
      <c r="AD111" s="95"/>
      <c r="AE111" s="95"/>
      <c r="AF111" s="95"/>
      <c r="AG111" s="95"/>
      <c r="AH111" s="73">
        <v>42.552</v>
      </c>
      <c r="AI111" s="75">
        <f>AH111*0.2-8.5104</f>
        <v>0</v>
      </c>
      <c r="AJ111" s="75">
        <f>AH111*0.6+8.5104-4.958*2-10-12-1.01*2-0.1056</f>
        <v>2.1371793224034263E-15</v>
      </c>
      <c r="AK111" s="75">
        <f>AH111*0.2</f>
        <v>8.5104000000000006</v>
      </c>
      <c r="AL111" s="45"/>
    </row>
    <row r="112" spans="1:38" ht="33.75" customHeight="1">
      <c r="A112" s="36">
        <v>109</v>
      </c>
      <c r="B112" s="37" t="s">
        <v>167</v>
      </c>
      <c r="C112" s="38" t="s">
        <v>14</v>
      </c>
      <c r="D112" s="38" t="s">
        <v>70</v>
      </c>
      <c r="E112" s="71">
        <v>45308</v>
      </c>
      <c r="F112" s="72">
        <v>30.895</v>
      </c>
      <c r="G112" s="73">
        <f>F112*0.2-0.177*1.2-0.2645*1.2-0.27*1.2-0.522*1.2-0.0239*1.2</f>
        <v>4.6701200000000007</v>
      </c>
      <c r="H112" s="73">
        <f>F112*0.6-0.41*1.2-0.6621*1.2-0.263*1.2-0.2124*1.1-1.6704*1.2-1.58*1.2-0.4477*1.2</f>
        <v>12.263519999999996</v>
      </c>
      <c r="I112" s="73">
        <f>F112*0.2</f>
        <v>6.1790000000000003</v>
      </c>
      <c r="J112" s="73">
        <v>9.1000000000000004E-3</v>
      </c>
      <c r="K112" s="73">
        <f>J112*0.2</f>
        <v>1.8200000000000002E-3</v>
      </c>
      <c r="L112" s="74">
        <f>J112*0.6</f>
        <v>5.4600000000000004E-3</v>
      </c>
      <c r="M112" s="74">
        <f>J112*0.2</f>
        <v>1.8200000000000002E-3</v>
      </c>
      <c r="N112" s="74">
        <v>3.7650000000000001</v>
      </c>
      <c r="O112" s="74">
        <f>N112*0.2</f>
        <v>0.75300000000000011</v>
      </c>
      <c r="P112" s="74">
        <f>N112*0.6</f>
        <v>2.2589999999999999</v>
      </c>
      <c r="Q112" s="74">
        <f>N112*0.2</f>
        <v>0.75300000000000011</v>
      </c>
      <c r="R112" s="74">
        <v>8.9999999999999998E-4</v>
      </c>
      <c r="S112" s="73">
        <f>R112*0.2</f>
        <v>1.8000000000000001E-4</v>
      </c>
      <c r="T112" s="73">
        <f>R112*0.6</f>
        <v>5.4000000000000001E-4</v>
      </c>
      <c r="U112" s="73">
        <f>R112*0.2</f>
        <v>1.8000000000000001E-4</v>
      </c>
      <c r="V112" s="95"/>
      <c r="W112" s="95"/>
      <c r="X112" s="95"/>
      <c r="Y112" s="95"/>
      <c r="Z112" s="95"/>
      <c r="AA112" s="77"/>
      <c r="AB112" s="76"/>
      <c r="AC112" s="95"/>
      <c r="AD112" s="95"/>
      <c r="AE112" s="95"/>
      <c r="AF112" s="95"/>
      <c r="AG112" s="95"/>
      <c r="AH112" s="73"/>
      <c r="AI112" s="75"/>
      <c r="AJ112" s="75"/>
      <c r="AK112" s="75"/>
      <c r="AL112" s="45"/>
    </row>
    <row r="113" spans="1:38" ht="33.75" customHeight="1">
      <c r="A113" s="36">
        <v>110</v>
      </c>
      <c r="B113" s="37" t="s">
        <v>167</v>
      </c>
      <c r="C113" s="38" t="s">
        <v>14</v>
      </c>
      <c r="D113" s="38" t="s">
        <v>70</v>
      </c>
      <c r="E113" s="71">
        <v>45343</v>
      </c>
      <c r="F113" s="72"/>
      <c r="G113" s="73"/>
      <c r="H113" s="73"/>
      <c r="I113" s="73"/>
      <c r="J113" s="73"/>
      <c r="K113" s="73"/>
      <c r="L113" s="74"/>
      <c r="M113" s="74"/>
      <c r="N113" s="74"/>
      <c r="O113" s="74"/>
      <c r="P113" s="74"/>
      <c r="Q113" s="74"/>
      <c r="R113" s="74"/>
      <c r="S113" s="73"/>
      <c r="T113" s="73"/>
      <c r="U113" s="73"/>
      <c r="V113" s="95">
        <v>5.53</v>
      </c>
      <c r="W113" s="95">
        <f>V113*0.2-0.0032*1.1</f>
        <v>1.1024800000000001</v>
      </c>
      <c r="X113" s="95">
        <f>V113*0.6-0.186*1.1</f>
        <v>3.1133999999999999</v>
      </c>
      <c r="Y113" s="95">
        <f>V113*0.2</f>
        <v>1.1060000000000001</v>
      </c>
      <c r="Z113" s="95">
        <v>5.5549999999999997</v>
      </c>
      <c r="AA113" s="77">
        <f>Z113*0.2-0.0299*1.2-0.176*1.2-0.468*1.2-0.0374*1.2</f>
        <v>0.25744000000000011</v>
      </c>
      <c r="AB113" s="76">
        <f>Z113*0.6-0.8695*1.2</f>
        <v>2.2895999999999996</v>
      </c>
      <c r="AC113" s="95">
        <f>Z113*0.2</f>
        <v>1.111</v>
      </c>
      <c r="AD113" s="95">
        <v>4.32</v>
      </c>
      <c r="AE113" s="95">
        <f>AD113*0.2-0.591*1.1-0.1436*1.1-0.0559</f>
        <v>4.0000000000074698E-5</v>
      </c>
      <c r="AF113" s="95">
        <f>AD113*0.6+0.0559-0.1166*1.1-0.158*1.1-1.37*1.1-0.266*1.1</f>
        <v>0.54623999999999961</v>
      </c>
      <c r="AG113" s="95">
        <f>AD113*0.2</f>
        <v>0.8640000000000001</v>
      </c>
      <c r="AH113" s="73"/>
      <c r="AI113" s="75"/>
      <c r="AJ113" s="75"/>
      <c r="AK113" s="75"/>
      <c r="AL113" s="45"/>
    </row>
    <row r="114" spans="1:38" ht="33.75" customHeight="1">
      <c r="A114" s="36">
        <v>111</v>
      </c>
      <c r="B114" s="47" t="s">
        <v>167</v>
      </c>
      <c r="C114" s="38" t="s">
        <v>144</v>
      </c>
      <c r="D114" s="38"/>
      <c r="E114" s="71"/>
      <c r="F114" s="72"/>
      <c r="G114" s="73"/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3"/>
      <c r="T114" s="73"/>
      <c r="U114" s="73"/>
      <c r="V114" s="95"/>
      <c r="W114" s="45"/>
      <c r="X114" s="95">
        <v>0.46200000000000002</v>
      </c>
      <c r="Y114" s="95"/>
      <c r="Z114" s="95"/>
      <c r="AA114" s="45"/>
      <c r="AB114" s="76">
        <f>3.8168+2.3562</f>
        <v>6.173</v>
      </c>
      <c r="AC114" s="95"/>
      <c r="AD114" s="95"/>
      <c r="AE114" s="45"/>
      <c r="AF114" s="95">
        <f>0.1464+2.8288-2.618*1.1</f>
        <v>9.5400000000000151E-2</v>
      </c>
      <c r="AG114" s="95"/>
      <c r="AH114" s="73"/>
      <c r="AI114" s="75"/>
      <c r="AJ114" s="75"/>
      <c r="AK114" s="75"/>
      <c r="AL114" s="45"/>
    </row>
    <row r="115" spans="1:38" ht="33.75" customHeight="1">
      <c r="A115" s="36">
        <v>112</v>
      </c>
      <c r="B115" s="37" t="s">
        <v>167</v>
      </c>
      <c r="C115" s="38" t="s">
        <v>171</v>
      </c>
      <c r="D115" s="38" t="s">
        <v>70</v>
      </c>
      <c r="E115" s="71">
        <v>45469</v>
      </c>
      <c r="F115" s="72"/>
      <c r="G115" s="73"/>
      <c r="H115" s="73"/>
      <c r="I115" s="73"/>
      <c r="J115" s="73"/>
      <c r="K115" s="73"/>
      <c r="L115" s="74"/>
      <c r="M115" s="74"/>
      <c r="N115" s="74"/>
      <c r="O115" s="74"/>
      <c r="P115" s="74"/>
      <c r="Q115" s="74"/>
      <c r="R115" s="74"/>
      <c r="S115" s="73"/>
      <c r="T115" s="73"/>
      <c r="U115" s="73"/>
      <c r="V115" s="95"/>
      <c r="W115" s="95"/>
      <c r="X115" s="95"/>
      <c r="Y115" s="95"/>
      <c r="Z115" s="95"/>
      <c r="AA115" s="77"/>
      <c r="AB115" s="76"/>
      <c r="AC115" s="95"/>
      <c r="AD115" s="95"/>
      <c r="AE115" s="95"/>
      <c r="AF115" s="95"/>
      <c r="AG115" s="95"/>
      <c r="AH115" s="76">
        <v>2.9895</v>
      </c>
      <c r="AI115" s="75">
        <f>AH115*0.2-0.035*2-0.5279</f>
        <v>0</v>
      </c>
      <c r="AJ115" s="75">
        <f>AH115*0.6</f>
        <v>1.7937000000000001</v>
      </c>
      <c r="AK115" s="75">
        <f>AH115*0.2</f>
        <v>0.59789999999999999</v>
      </c>
      <c r="AL115" s="45"/>
    </row>
    <row r="116" spans="1:38" ht="33.75" customHeight="1">
      <c r="A116" s="36">
        <v>113</v>
      </c>
      <c r="B116" s="37" t="s">
        <v>167</v>
      </c>
      <c r="C116" s="38" t="s">
        <v>172</v>
      </c>
      <c r="D116" s="38" t="s">
        <v>70</v>
      </c>
      <c r="E116" s="71">
        <v>45469</v>
      </c>
      <c r="F116" s="72"/>
      <c r="G116" s="73"/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3"/>
      <c r="T116" s="73"/>
      <c r="U116" s="73"/>
      <c r="V116" s="95"/>
      <c r="W116" s="95"/>
      <c r="X116" s="95"/>
      <c r="Y116" s="95"/>
      <c r="Z116" s="95"/>
      <c r="AA116" s="77"/>
      <c r="AB116" s="76"/>
      <c r="AC116" s="95"/>
      <c r="AD116" s="95"/>
      <c r="AE116" s="95"/>
      <c r="AF116" s="95"/>
      <c r="AG116" s="95"/>
      <c r="AH116" s="76">
        <v>2.3915000000000002</v>
      </c>
      <c r="AI116" s="75">
        <f>AH116*0.2+0.5279-0.46*2-0.027*2</f>
        <v>3.2200000000000166E-2</v>
      </c>
      <c r="AJ116" s="75">
        <f>AH116*0.6-0.1306*2-0.1306*2+0.1056-0.486*2</f>
        <v>4.6100000000000252E-2</v>
      </c>
      <c r="AK116" s="75">
        <f>AH116*0.2</f>
        <v>0.47830000000000006</v>
      </c>
      <c r="AL116" s="45"/>
    </row>
    <row r="117" spans="1:38" ht="33.75" customHeight="1">
      <c r="A117" s="36">
        <v>114</v>
      </c>
      <c r="B117" s="48" t="s">
        <v>173</v>
      </c>
      <c r="C117" s="39" t="s">
        <v>174</v>
      </c>
      <c r="D117" s="39" t="s">
        <v>70</v>
      </c>
      <c r="E117" s="40">
        <v>45495</v>
      </c>
      <c r="F117" s="41">
        <v>5</v>
      </c>
      <c r="G117" s="42">
        <f>F117*0.2</f>
        <v>1</v>
      </c>
      <c r="H117" s="42">
        <f>F117*0.6</f>
        <v>3</v>
      </c>
      <c r="I117" s="42">
        <f>F117*0.2</f>
        <v>1</v>
      </c>
      <c r="J117" s="44">
        <v>0.4</v>
      </c>
      <c r="K117" s="42">
        <f>J117*0.2</f>
        <v>8.0000000000000016E-2</v>
      </c>
      <c r="L117" s="43">
        <f>J117*0.6</f>
        <v>0.24</v>
      </c>
      <c r="M117" s="43">
        <f>J117*0.2</f>
        <v>8.0000000000000016E-2</v>
      </c>
      <c r="N117" s="54"/>
      <c r="O117" s="54"/>
      <c r="P117" s="54"/>
      <c r="Q117" s="54"/>
      <c r="R117" s="54">
        <v>0.05</v>
      </c>
      <c r="S117" s="44">
        <f>R117*0.2</f>
        <v>1.0000000000000002E-2</v>
      </c>
      <c r="T117" s="44">
        <f>R117*0.6</f>
        <v>0.03</v>
      </c>
      <c r="U117" s="44">
        <f>R117*0.2</f>
        <v>1.0000000000000002E-2</v>
      </c>
      <c r="V117" s="44">
        <v>120</v>
      </c>
      <c r="W117" s="42">
        <f>V117*0.2</f>
        <v>24</v>
      </c>
      <c r="X117" s="42">
        <f>V117*0.6-72</f>
        <v>0</v>
      </c>
      <c r="Y117" s="42">
        <f>V117*0.2</f>
        <v>24</v>
      </c>
      <c r="Z117" s="42">
        <v>240</v>
      </c>
      <c r="AA117" s="42">
        <f>Z117*0.2</f>
        <v>48</v>
      </c>
      <c r="AB117" s="42">
        <f>Z117*0.6-144</f>
        <v>0</v>
      </c>
      <c r="AC117" s="42">
        <f>Z117*0.2</f>
        <v>48</v>
      </c>
      <c r="AD117" s="42">
        <v>48</v>
      </c>
      <c r="AE117" s="42">
        <f>AD117*0.2</f>
        <v>9.6000000000000014</v>
      </c>
      <c r="AF117" s="42">
        <f>AD117*0.6-17.38</f>
        <v>11.419999999999998</v>
      </c>
      <c r="AG117" s="42">
        <f>AD117*0.2</f>
        <v>9.6000000000000014</v>
      </c>
      <c r="AH117" s="42"/>
      <c r="AI117" s="42"/>
      <c r="AJ117" s="42"/>
      <c r="AK117" s="42"/>
      <c r="AL117" s="45"/>
    </row>
    <row r="118" spans="1:38" ht="33.75" customHeight="1">
      <c r="A118" s="36">
        <v>115</v>
      </c>
      <c r="B118" s="48" t="s">
        <v>11</v>
      </c>
      <c r="C118" s="38" t="s">
        <v>175</v>
      </c>
      <c r="D118" s="39" t="s">
        <v>70</v>
      </c>
      <c r="E118" s="39" t="s">
        <v>176</v>
      </c>
      <c r="F118" s="41">
        <v>12</v>
      </c>
      <c r="G118" s="42">
        <f>F118*0.2-2.4</f>
        <v>0</v>
      </c>
      <c r="H118" s="42">
        <f>F118*0.6-1.9512+2.6308-4.061*1.1-0.2556*1.2-1.1283*1.2-1.4526*1.1</f>
        <v>0.15395999999999876</v>
      </c>
      <c r="I118" s="42">
        <f>F118*0.2</f>
        <v>2.4000000000000004</v>
      </c>
      <c r="J118" s="42">
        <v>0.15509999999999999</v>
      </c>
      <c r="K118" s="42">
        <f>J118*0.2-0.031</f>
        <v>1.9999999999999185E-5</v>
      </c>
      <c r="L118" s="43">
        <f>J118*0.6-0.0077*1.2-0.0641*1.2</f>
        <v>6.8999999999999895E-3</v>
      </c>
      <c r="M118" s="43">
        <f>J118*0.2</f>
        <v>3.1019999999999999E-2</v>
      </c>
      <c r="N118" s="43">
        <v>5.4999999999999997E-3</v>
      </c>
      <c r="O118" s="43">
        <f>N118*0.2</f>
        <v>1.1000000000000001E-3</v>
      </c>
      <c r="P118" s="43">
        <f>N118*0.6-0.0033</f>
        <v>0</v>
      </c>
      <c r="Q118" s="43">
        <f>N118*0.2</f>
        <v>1.1000000000000001E-3</v>
      </c>
      <c r="R118" s="43">
        <v>0.17580000000000001</v>
      </c>
      <c r="S118" s="42">
        <f>R118*0.2</f>
        <v>3.5160000000000004E-2</v>
      </c>
      <c r="T118" s="42">
        <f>R118*0.6-0.001*1.2-0.008*1.2</f>
        <v>9.468E-2</v>
      </c>
      <c r="U118" s="42">
        <f>R118*0.2</f>
        <v>3.5160000000000004E-2</v>
      </c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4"/>
      <c r="AJ118" s="44"/>
      <c r="AK118" s="44"/>
      <c r="AL118" s="45"/>
    </row>
    <row r="119" spans="1:38" s="86" customFormat="1" ht="33.75" customHeight="1">
      <c r="A119" s="36">
        <v>116</v>
      </c>
      <c r="B119" s="48" t="s">
        <v>11</v>
      </c>
      <c r="C119" s="39" t="s">
        <v>177</v>
      </c>
      <c r="D119" s="39" t="s">
        <v>70</v>
      </c>
      <c r="E119" s="39" t="s">
        <v>176</v>
      </c>
      <c r="F119" s="41">
        <v>8.1590000000000007</v>
      </c>
      <c r="G119" s="42">
        <f>F119*0.2-0.1295*1.2+2.4-2.231*1.2</f>
        <v>1.1992000000000007</v>
      </c>
      <c r="H119" s="42">
        <f>F119*0.6-0.4881*1.2-0.2168*1.2</f>
        <v>4.0495200000000002</v>
      </c>
      <c r="I119" s="42">
        <f>F119*0.2</f>
        <v>1.6318000000000001</v>
      </c>
      <c r="J119" s="42">
        <v>0.1123</v>
      </c>
      <c r="K119" s="42">
        <f>J119*0.2</f>
        <v>2.2460000000000001E-2</v>
      </c>
      <c r="L119" s="43">
        <f>J119*0.6</f>
        <v>6.7379999999999995E-2</v>
      </c>
      <c r="M119" s="43">
        <f>J119*0.2</f>
        <v>2.2460000000000001E-2</v>
      </c>
      <c r="N119" s="43">
        <v>0.33300000000000002</v>
      </c>
      <c r="O119" s="43">
        <f>N119*0.2</f>
        <v>6.6600000000000006E-2</v>
      </c>
      <c r="P119" s="43">
        <f>N119*0.6-0.1998</f>
        <v>0</v>
      </c>
      <c r="Q119" s="43">
        <f>N119*0.2</f>
        <v>6.6600000000000006E-2</v>
      </c>
      <c r="R119" s="43">
        <v>5.3E-3</v>
      </c>
      <c r="S119" s="42">
        <f>R119*0.2</f>
        <v>1.06E-3</v>
      </c>
      <c r="T119" s="42">
        <f>R119*0.6</f>
        <v>3.1800000000000001E-3</v>
      </c>
      <c r="U119" s="42">
        <f>R119*0.2</f>
        <v>1.06E-3</v>
      </c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4"/>
      <c r="AJ119" s="44"/>
      <c r="AK119" s="44"/>
      <c r="AL119" s="85"/>
    </row>
    <row r="120" spans="1:38" s="86" customFormat="1" ht="33.75" customHeight="1">
      <c r="A120" s="36">
        <v>117</v>
      </c>
      <c r="B120" s="48" t="s">
        <v>11</v>
      </c>
      <c r="C120" s="39" t="s">
        <v>36</v>
      </c>
      <c r="D120" s="39" t="s">
        <v>70</v>
      </c>
      <c r="E120" s="39" t="s">
        <v>176</v>
      </c>
      <c r="F120" s="41">
        <v>8.4819999999999993</v>
      </c>
      <c r="G120" s="42">
        <f>F120*0.2-0.06352*1.2-0.1138*1.2</f>
        <v>1.4836159999999998</v>
      </c>
      <c r="H120" s="42">
        <f>F120*0.6-0.5116*1.2</f>
        <v>4.4752799999999988</v>
      </c>
      <c r="I120" s="42">
        <f>F120*0.2</f>
        <v>1.6963999999999999</v>
      </c>
      <c r="J120" s="42">
        <v>0.10299999999999999</v>
      </c>
      <c r="K120" s="42">
        <f>J120*0.2</f>
        <v>2.06E-2</v>
      </c>
      <c r="L120" s="43">
        <f>J120*0.6</f>
        <v>6.1799999999999994E-2</v>
      </c>
      <c r="M120" s="43">
        <f>J120*0.2</f>
        <v>2.06E-2</v>
      </c>
      <c r="N120" s="43"/>
      <c r="O120" s="43"/>
      <c r="P120" s="43"/>
      <c r="Q120" s="43"/>
      <c r="R120" s="43">
        <v>3.0000000000000001E-3</v>
      </c>
      <c r="S120" s="42">
        <f>R120*0.2</f>
        <v>6.0000000000000006E-4</v>
      </c>
      <c r="T120" s="42">
        <f>R120*0.6</f>
        <v>1.8E-3</v>
      </c>
      <c r="U120" s="42">
        <f>R120*0.2</f>
        <v>6.0000000000000006E-4</v>
      </c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4"/>
      <c r="AJ120" s="44"/>
      <c r="AK120" s="44"/>
      <c r="AL120" s="85"/>
    </row>
    <row r="121" spans="1:38" s="86" customFormat="1" ht="33.75" customHeight="1">
      <c r="A121" s="36">
        <v>118</v>
      </c>
      <c r="B121" s="53" t="s">
        <v>11</v>
      </c>
      <c r="C121" s="38" t="s">
        <v>178</v>
      </c>
      <c r="D121" s="39" t="s">
        <v>70</v>
      </c>
      <c r="E121" s="40">
        <v>45028</v>
      </c>
      <c r="F121" s="41"/>
      <c r="G121" s="42"/>
      <c r="H121" s="42"/>
      <c r="I121" s="42"/>
      <c r="J121" s="42"/>
      <c r="K121" s="42"/>
      <c r="L121" s="43"/>
      <c r="M121" s="43"/>
      <c r="N121" s="43"/>
      <c r="O121" s="43"/>
      <c r="P121" s="43"/>
      <c r="Q121" s="43"/>
      <c r="R121" s="43"/>
      <c r="S121" s="42"/>
      <c r="T121" s="42"/>
      <c r="U121" s="42"/>
      <c r="V121" s="42">
        <v>0.36</v>
      </c>
      <c r="W121" s="42">
        <f>V121*0.2-0.024*1.1</f>
        <v>4.5599999999999988E-2</v>
      </c>
      <c r="X121" s="42">
        <f>0.216-0.1*1.1-0.018*1.1-0.024*1.1</f>
        <v>5.9799999999999978E-2</v>
      </c>
      <c r="Y121" s="42">
        <v>7.1999999999999995E-2</v>
      </c>
      <c r="Z121" s="42">
        <v>11.22</v>
      </c>
      <c r="AA121" s="42">
        <f>2.2164-0.1122*1.2</f>
        <v>2.0817600000000001</v>
      </c>
      <c r="AB121" s="42">
        <f>6.732-0.935*1.2-0.168*1.2-0.44*1.2-0.2244*1.2-1.279*1.2</f>
        <v>3.0763199999999999</v>
      </c>
      <c r="AC121" s="42">
        <v>2.2440000000000002</v>
      </c>
      <c r="AD121" s="42">
        <v>6.1950000000000003</v>
      </c>
      <c r="AE121" s="73">
        <f>0.95076-0.4694*1.1-0.1095*1.1-0.314</f>
        <v>-2.9999999999974492E-5</v>
      </c>
      <c r="AF121" s="96">
        <f>3.717-0.498*1.1-0.0418*1.1-(0.4784*1.1-0.314)-0.1856*1.1+0.3388</f>
        <v>3.04562</v>
      </c>
      <c r="AG121" s="42">
        <v>1.2390000000000001</v>
      </c>
      <c r="AH121" s="42">
        <v>21.6</v>
      </c>
      <c r="AI121" s="44">
        <f>AH121*0.2-0.2791*2-0.105*2-0.1766*2-1.1986-0.094*2-0.2357*2-0.29174*2-0.1984*2-0.0599*2-0.2405</f>
        <v>1.9999999999797957E-5</v>
      </c>
      <c r="AJ121" s="44">
        <v>0</v>
      </c>
      <c r="AK121" s="44">
        <v>4.32</v>
      </c>
      <c r="AL121" s="85"/>
    </row>
    <row r="122" spans="1:38" s="86" customFormat="1" ht="33.75" customHeight="1">
      <c r="A122" s="36">
        <v>119</v>
      </c>
      <c r="B122" s="37" t="s">
        <v>11</v>
      </c>
      <c r="C122" s="38" t="s">
        <v>144</v>
      </c>
      <c r="D122" s="39"/>
      <c r="E122" s="40"/>
      <c r="F122" s="41"/>
      <c r="G122" s="42"/>
      <c r="H122" s="42">
        <v>1.8363</v>
      </c>
      <c r="I122" s="42"/>
      <c r="J122" s="42"/>
      <c r="K122" s="42"/>
      <c r="L122" s="43"/>
      <c r="M122" s="43"/>
      <c r="N122" s="43"/>
      <c r="O122" s="43"/>
      <c r="P122" s="43">
        <f>0.2031-0.2031</f>
        <v>0</v>
      </c>
      <c r="Q122" s="43"/>
      <c r="R122" s="43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4"/>
      <c r="AJ122" s="44"/>
      <c r="AK122" s="44"/>
      <c r="AL122" s="85"/>
    </row>
    <row r="123" spans="1:38" s="86" customFormat="1" ht="33.75" customHeight="1">
      <c r="A123" s="36">
        <v>120</v>
      </c>
      <c r="B123" s="48" t="s">
        <v>11</v>
      </c>
      <c r="C123" s="38" t="s">
        <v>12</v>
      </c>
      <c r="D123" s="39" t="s">
        <v>70</v>
      </c>
      <c r="E123" s="40">
        <v>45674</v>
      </c>
      <c r="F123" s="41"/>
      <c r="G123" s="42"/>
      <c r="H123" s="42"/>
      <c r="I123" s="42"/>
      <c r="J123" s="42"/>
      <c r="K123" s="42"/>
      <c r="L123" s="43"/>
      <c r="M123" s="43"/>
      <c r="N123" s="43"/>
      <c r="O123" s="43"/>
      <c r="P123" s="43"/>
      <c r="Q123" s="43"/>
      <c r="R123" s="43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73"/>
      <c r="AF123" s="42"/>
      <c r="AG123" s="42"/>
      <c r="AH123" s="49">
        <v>14.3</v>
      </c>
      <c r="AI123" s="44">
        <f>5.72*0.4-0.1739*2-0.129*2-0.1079*2-0.0735*2-0.0769*2</f>
        <v>1.1656</v>
      </c>
      <c r="AJ123" s="44">
        <f>5.72*0.6-0.185*2+0.6726-0.989*2</f>
        <v>1.7565999999999999</v>
      </c>
      <c r="AK123" s="97">
        <v>1.43</v>
      </c>
      <c r="AL123" s="85" t="s">
        <v>179</v>
      </c>
    </row>
    <row r="124" spans="1:38" s="86" customFormat="1" ht="33.75" customHeight="1">
      <c r="A124" s="36">
        <v>121</v>
      </c>
      <c r="B124" s="48" t="s">
        <v>11</v>
      </c>
      <c r="C124" s="38" t="s">
        <v>44</v>
      </c>
      <c r="D124" s="39" t="s">
        <v>70</v>
      </c>
      <c r="E124" s="40">
        <v>45838</v>
      </c>
      <c r="F124" s="41"/>
      <c r="G124" s="42"/>
      <c r="H124" s="42"/>
      <c r="I124" s="42"/>
      <c r="J124" s="42"/>
      <c r="K124" s="42"/>
      <c r="L124" s="43"/>
      <c r="M124" s="43"/>
      <c r="N124" s="43"/>
      <c r="O124" s="43"/>
      <c r="P124" s="43"/>
      <c r="Q124" s="43"/>
      <c r="R124" s="43"/>
      <c r="S124" s="42"/>
      <c r="T124" s="42"/>
      <c r="U124" s="42"/>
      <c r="V124" s="49">
        <v>0.63819999999999999</v>
      </c>
      <c r="W124" s="42">
        <f>V124*0.2-0.05*1.1-0.02*1.1-0.03*1.1</f>
        <v>1.7639999999999989E-2</v>
      </c>
      <c r="X124" s="42">
        <f>V124*0.6-1.1*0.337</f>
        <v>1.2219999999999953E-2</v>
      </c>
      <c r="Y124" s="42">
        <f>V124*0.2</f>
        <v>0.12764</v>
      </c>
      <c r="Z124" s="49">
        <v>5.9672000000000001</v>
      </c>
      <c r="AA124" s="42">
        <f>Z124*0.2-1.2*0.234-1.2*0.187-1.2*0.2805</f>
        <v>0.35164000000000017</v>
      </c>
      <c r="AB124" s="42">
        <f>Z124*0.6</f>
        <v>3.5803199999999999</v>
      </c>
      <c r="AC124" s="42">
        <f>Z124*0.2</f>
        <v>1.1934400000000001</v>
      </c>
      <c r="AD124" s="49">
        <v>5.7084000000000001</v>
      </c>
      <c r="AE124" s="73">
        <f>AD124*0.2-1.1*0.183-1.1*0.109-1.1*0.0882</f>
        <v>0.72345999999999999</v>
      </c>
      <c r="AF124" s="42">
        <f>AD124*0.6</f>
        <v>3.4250400000000001</v>
      </c>
      <c r="AG124" s="42">
        <f>AD124*0.2</f>
        <v>1.14168</v>
      </c>
      <c r="AH124" s="42"/>
      <c r="AI124" s="44"/>
      <c r="AJ124" s="44"/>
      <c r="AK124" s="44"/>
      <c r="AL124" s="85"/>
    </row>
    <row r="125" spans="1:38" s="86" customFormat="1" ht="33.75" customHeight="1">
      <c r="A125" s="36">
        <v>122</v>
      </c>
      <c r="B125" s="48" t="s">
        <v>11</v>
      </c>
      <c r="C125" s="38" t="s">
        <v>46</v>
      </c>
      <c r="D125" s="39" t="s">
        <v>70</v>
      </c>
      <c r="E125" s="40">
        <v>45838</v>
      </c>
      <c r="F125" s="41"/>
      <c r="G125" s="42"/>
      <c r="H125" s="42"/>
      <c r="I125" s="42"/>
      <c r="J125" s="42"/>
      <c r="K125" s="42"/>
      <c r="L125" s="43"/>
      <c r="M125" s="43"/>
      <c r="N125" s="43"/>
      <c r="O125" s="43"/>
      <c r="P125" s="43"/>
      <c r="Q125" s="43"/>
      <c r="R125" s="43"/>
      <c r="S125" s="42"/>
      <c r="T125" s="42"/>
      <c r="U125" s="42"/>
      <c r="V125" s="49">
        <v>0.01</v>
      </c>
      <c r="W125" s="42">
        <f>V125*0.2</f>
        <v>2E-3</v>
      </c>
      <c r="X125" s="42">
        <f>V125*0.6</f>
        <v>6.0000000000000001E-3</v>
      </c>
      <c r="Y125" s="42">
        <f>V125*0.2</f>
        <v>2E-3</v>
      </c>
      <c r="Z125" s="49">
        <v>9.35E-2</v>
      </c>
      <c r="AA125" s="42">
        <f>Z125*0.2</f>
        <v>1.8700000000000001E-2</v>
      </c>
      <c r="AB125" s="42">
        <f>Z125*0.6</f>
        <v>5.6099999999999997E-2</v>
      </c>
      <c r="AC125" s="42">
        <f>Z125*0.2</f>
        <v>1.8700000000000001E-2</v>
      </c>
      <c r="AD125" s="49">
        <v>2.9815999999999998</v>
      </c>
      <c r="AE125" s="73">
        <f>AD125*0.2-0.0258*1.1</f>
        <v>0.56794</v>
      </c>
      <c r="AF125" s="42">
        <f>AD125*0.6-0.646*1.1-0.1555*1.1</f>
        <v>0.90730999999999973</v>
      </c>
      <c r="AG125" s="42">
        <f>AD125*0.2</f>
        <v>0.59631999999999996</v>
      </c>
      <c r="AH125" s="49">
        <v>4.1599999999999998E-2</v>
      </c>
      <c r="AI125" s="44">
        <f>AH125*0.2</f>
        <v>8.3199999999999993E-3</v>
      </c>
      <c r="AJ125" s="44">
        <f>AH125*0.6</f>
        <v>2.496E-2</v>
      </c>
      <c r="AK125" s="44">
        <f>AH125*0.2</f>
        <v>8.3199999999999993E-3</v>
      </c>
      <c r="AL125" s="85"/>
    </row>
    <row r="126" spans="1:38" s="86" customFormat="1" ht="33.75" customHeight="1">
      <c r="A126" s="36">
        <v>123</v>
      </c>
      <c r="B126" s="48" t="s">
        <v>11</v>
      </c>
      <c r="C126" s="38" t="s">
        <v>180</v>
      </c>
      <c r="D126" s="39" t="s">
        <v>70</v>
      </c>
      <c r="E126" s="40">
        <v>45838</v>
      </c>
      <c r="F126" s="41"/>
      <c r="G126" s="42"/>
      <c r="H126" s="42"/>
      <c r="I126" s="42"/>
      <c r="J126" s="42"/>
      <c r="K126" s="42"/>
      <c r="L126" s="43"/>
      <c r="M126" s="43"/>
      <c r="N126" s="43"/>
      <c r="O126" s="43"/>
      <c r="P126" s="43"/>
      <c r="Q126" s="43"/>
      <c r="R126" s="43"/>
      <c r="S126" s="42"/>
      <c r="T126" s="42"/>
      <c r="U126" s="42"/>
      <c r="V126" s="42"/>
      <c r="W126" s="42"/>
      <c r="X126" s="42"/>
      <c r="Y126" s="42"/>
      <c r="Z126" s="49">
        <v>6.9629000000000003</v>
      </c>
      <c r="AA126" s="42">
        <f>Z126*0.2</f>
        <v>1.3925800000000002</v>
      </c>
      <c r="AB126" s="42">
        <f>Z126*0.6</f>
        <v>4.17774</v>
      </c>
      <c r="AC126" s="42">
        <f>Z126*0.2</f>
        <v>1.3925800000000002</v>
      </c>
      <c r="AD126" s="42"/>
      <c r="AE126" s="73"/>
      <c r="AF126" s="42"/>
      <c r="AG126" s="42"/>
      <c r="AH126" s="49">
        <v>17.514399999999998</v>
      </c>
      <c r="AI126" s="44">
        <f>AH126*0.2</f>
        <v>3.5028799999999998</v>
      </c>
      <c r="AJ126" s="44">
        <f>AH126*0.6</f>
        <v>10.508639999999998</v>
      </c>
      <c r="AK126" s="44">
        <f>AH126*0.2</f>
        <v>3.5028799999999998</v>
      </c>
      <c r="AL126" s="85"/>
    </row>
    <row r="127" spans="1:38" s="86" customFormat="1" ht="33.75" customHeight="1">
      <c r="A127" s="36">
        <v>124</v>
      </c>
      <c r="B127" s="48" t="s">
        <v>11</v>
      </c>
      <c r="C127" s="38" t="s">
        <v>181</v>
      </c>
      <c r="D127" s="39" t="s">
        <v>70</v>
      </c>
      <c r="E127" s="40">
        <v>45910</v>
      </c>
      <c r="F127" s="41"/>
      <c r="G127" s="42"/>
      <c r="H127" s="42"/>
      <c r="I127" s="42"/>
      <c r="J127" s="42"/>
      <c r="K127" s="42"/>
      <c r="L127" s="43"/>
      <c r="M127" s="43"/>
      <c r="N127" s="43"/>
      <c r="O127" s="43"/>
      <c r="P127" s="43"/>
      <c r="Q127" s="43"/>
      <c r="R127" s="43"/>
      <c r="S127" s="42"/>
      <c r="T127" s="42"/>
      <c r="U127" s="42"/>
      <c r="V127" s="42"/>
      <c r="W127" s="42"/>
      <c r="X127" s="42"/>
      <c r="Y127" s="42"/>
      <c r="Z127" s="49"/>
      <c r="AA127" s="42"/>
      <c r="AB127" s="42"/>
      <c r="AC127" s="42"/>
      <c r="AD127" s="49">
        <v>14.1191</v>
      </c>
      <c r="AE127" s="73">
        <f>AD127*0.2</f>
        <v>2.82382</v>
      </c>
      <c r="AF127" s="42">
        <f>AD127*0.6</f>
        <v>8.4714599999999987</v>
      </c>
      <c r="AG127" s="42">
        <f>AD127*0.2</f>
        <v>2.82382</v>
      </c>
      <c r="AH127" s="49">
        <v>1.2687999999999999</v>
      </c>
      <c r="AI127" s="44">
        <f>AH127*0.2</f>
        <v>0.25375999999999999</v>
      </c>
      <c r="AJ127" s="44">
        <f>AH127*0.6</f>
        <v>0.76127999999999996</v>
      </c>
      <c r="AK127" s="44">
        <f>AH127*0.2</f>
        <v>0.25375999999999999</v>
      </c>
      <c r="AL127" s="85"/>
    </row>
    <row r="128" spans="1:38" s="86" customFormat="1" ht="33.75" customHeight="1">
      <c r="A128" s="36">
        <v>125</v>
      </c>
      <c r="B128" s="48" t="s">
        <v>11</v>
      </c>
      <c r="C128" s="38" t="s">
        <v>180</v>
      </c>
      <c r="D128" s="39" t="s">
        <v>70</v>
      </c>
      <c r="E128" s="40">
        <v>45910</v>
      </c>
      <c r="F128" s="41"/>
      <c r="G128" s="42"/>
      <c r="H128" s="42"/>
      <c r="I128" s="42"/>
      <c r="J128" s="42"/>
      <c r="K128" s="42"/>
      <c r="L128" s="43"/>
      <c r="M128" s="43"/>
      <c r="N128" s="43"/>
      <c r="O128" s="43"/>
      <c r="P128" s="43"/>
      <c r="Q128" s="43"/>
      <c r="R128" s="43"/>
      <c r="S128" s="42"/>
      <c r="T128" s="42"/>
      <c r="U128" s="42"/>
      <c r="V128" s="42"/>
      <c r="W128" s="42"/>
      <c r="X128" s="42"/>
      <c r="Y128" s="42"/>
      <c r="Z128" s="49"/>
      <c r="AA128" s="42"/>
      <c r="AB128" s="42"/>
      <c r="AC128" s="42"/>
      <c r="AD128" s="49">
        <v>6.9629000000000003</v>
      </c>
      <c r="AE128" s="73">
        <f>AD128*0.2</f>
        <v>1.3925800000000002</v>
      </c>
      <c r="AF128" s="42">
        <f>AD128*0.6</f>
        <v>4.17774</v>
      </c>
      <c r="AG128" s="42">
        <f>AD128*0.2</f>
        <v>1.3925800000000002</v>
      </c>
      <c r="AH128" s="49">
        <v>17.514399999999998</v>
      </c>
      <c r="AI128" s="44">
        <f>AH128*0.2</f>
        <v>3.5028799999999998</v>
      </c>
      <c r="AJ128" s="44">
        <f>AH128*0.6</f>
        <v>10.508639999999998</v>
      </c>
      <c r="AK128" s="44">
        <f>AH128*0.2</f>
        <v>3.5028799999999998</v>
      </c>
      <c r="AL128" s="85"/>
    </row>
    <row r="129" spans="1:38" s="86" customFormat="1" ht="33.75" customHeight="1">
      <c r="A129" s="36">
        <v>126</v>
      </c>
      <c r="B129" s="48" t="s">
        <v>16</v>
      </c>
      <c r="C129" s="38" t="s">
        <v>182</v>
      </c>
      <c r="D129" s="39" t="s">
        <v>70</v>
      </c>
      <c r="E129" s="40">
        <v>45162</v>
      </c>
      <c r="F129" s="41"/>
      <c r="G129" s="42"/>
      <c r="H129" s="42"/>
      <c r="I129" s="42"/>
      <c r="J129" s="44"/>
      <c r="K129" s="42"/>
      <c r="L129" s="43"/>
      <c r="M129" s="43"/>
      <c r="N129" s="54"/>
      <c r="O129" s="54"/>
      <c r="P129" s="54"/>
      <c r="Q129" s="54"/>
      <c r="R129" s="54"/>
      <c r="S129" s="44"/>
      <c r="T129" s="44"/>
      <c r="U129" s="44"/>
      <c r="V129" s="44"/>
      <c r="W129" s="42"/>
      <c r="X129" s="42"/>
      <c r="Y129" s="42"/>
      <c r="Z129" s="42"/>
      <c r="AA129" s="42"/>
      <c r="AB129" s="42"/>
      <c r="AC129" s="42"/>
      <c r="AD129" s="42">
        <v>0.91300000000000003</v>
      </c>
      <c r="AE129" s="42">
        <f>AD129*0.2-0.1826</f>
        <v>0</v>
      </c>
      <c r="AF129" s="42">
        <f>AD129*0.6-0.5478</f>
        <v>0</v>
      </c>
      <c r="AG129" s="42">
        <f>AD129*0.2</f>
        <v>0.18260000000000001</v>
      </c>
      <c r="AH129" s="42"/>
      <c r="AI129" s="42"/>
      <c r="AJ129" s="42"/>
      <c r="AK129" s="42"/>
      <c r="AL129" s="85"/>
    </row>
    <row r="130" spans="1:38" s="86" customFormat="1" ht="33.75" customHeight="1">
      <c r="A130" s="36">
        <v>127</v>
      </c>
      <c r="B130" s="48" t="s">
        <v>16</v>
      </c>
      <c r="C130" s="38" t="s">
        <v>17</v>
      </c>
      <c r="D130" s="39" t="s">
        <v>70</v>
      </c>
      <c r="E130" s="40">
        <v>45498</v>
      </c>
      <c r="F130" s="41"/>
      <c r="G130" s="42"/>
      <c r="H130" s="42"/>
      <c r="I130" s="42"/>
      <c r="J130" s="44"/>
      <c r="K130" s="42"/>
      <c r="L130" s="43"/>
      <c r="M130" s="43"/>
      <c r="N130" s="54"/>
      <c r="O130" s="54"/>
      <c r="P130" s="54"/>
      <c r="Q130" s="54"/>
      <c r="R130" s="54"/>
      <c r="S130" s="44"/>
      <c r="T130" s="44"/>
      <c r="U130" s="44"/>
      <c r="V130" s="44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>
        <v>129.25700000000001</v>
      </c>
      <c r="AI130" s="42">
        <f>AH130*0.2-0.4918*2-0.641*2-0.0186*2</f>
        <v>23.548600000000004</v>
      </c>
      <c r="AJ130" s="42">
        <f>AH130*0.6</f>
        <v>77.554199999999994</v>
      </c>
      <c r="AK130" s="42">
        <f>AH130*0.2</f>
        <v>25.851400000000002</v>
      </c>
      <c r="AL130" s="85"/>
    </row>
    <row r="131" spans="1:38" s="86" customFormat="1" ht="33.75" customHeight="1">
      <c r="A131" s="36">
        <v>128</v>
      </c>
      <c r="B131" s="48" t="s">
        <v>16</v>
      </c>
      <c r="C131" s="38" t="s">
        <v>183</v>
      </c>
      <c r="D131" s="39" t="s">
        <v>70</v>
      </c>
      <c r="E131" s="40">
        <v>45840</v>
      </c>
      <c r="F131" s="98">
        <v>155.42840000000001</v>
      </c>
      <c r="G131" s="42">
        <v>24.365200000000002</v>
      </c>
      <c r="H131" s="42">
        <v>73.095699999999994</v>
      </c>
      <c r="I131" s="49">
        <v>31.085699999999999</v>
      </c>
      <c r="J131" s="44">
        <v>37.011800000000001</v>
      </c>
      <c r="K131" s="42">
        <v>5.8019999999999996</v>
      </c>
      <c r="L131" s="43">
        <v>17.406100000000002</v>
      </c>
      <c r="M131" s="43">
        <v>7.4024000000000001</v>
      </c>
      <c r="N131" s="54">
        <v>32.3444</v>
      </c>
      <c r="O131" s="54">
        <v>5.0704000000000002</v>
      </c>
      <c r="P131" s="54">
        <v>15.211100000000002</v>
      </c>
      <c r="Q131" s="54">
        <v>6.4687999999999999</v>
      </c>
      <c r="R131" s="54">
        <v>8.6324000000000005</v>
      </c>
      <c r="S131" s="44">
        <v>1.3532</v>
      </c>
      <c r="T131" s="44">
        <v>4.0596999999999994</v>
      </c>
      <c r="U131" s="44">
        <v>1.7264999999999999</v>
      </c>
      <c r="V131" s="44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90" t="s">
        <v>184</v>
      </c>
    </row>
    <row r="132" spans="1:38" s="86" customFormat="1" ht="33.75" customHeight="1">
      <c r="A132" s="36">
        <v>129</v>
      </c>
      <c r="B132" s="48" t="s">
        <v>7</v>
      </c>
      <c r="C132" s="38" t="s">
        <v>23</v>
      </c>
      <c r="D132" s="38" t="s">
        <v>70</v>
      </c>
      <c r="E132" s="39" t="s">
        <v>185</v>
      </c>
      <c r="F132" s="41"/>
      <c r="G132" s="42"/>
      <c r="H132" s="42"/>
      <c r="I132" s="42"/>
      <c r="J132" s="42"/>
      <c r="K132" s="42"/>
      <c r="L132" s="43"/>
      <c r="M132" s="43"/>
      <c r="N132" s="43"/>
      <c r="O132" s="43"/>
      <c r="P132" s="43"/>
      <c r="Q132" s="43"/>
      <c r="R132" s="43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>
        <v>63.965000000000003</v>
      </c>
      <c r="AI132" s="44">
        <f>AH132*0.2-1.4*2-0.352*2-0.301*2-0.19*2-0.03758*2-0.365*2-0.347*2-0.54*2-0.1577*2-0.0459*2-0.008*2</f>
        <v>5.3046399999999991</v>
      </c>
      <c r="AJ132" s="44">
        <f>AH132*0.6-1.9204*2-0.456*2-0.7305*2-9.762*2-1.41*2</f>
        <v>9.8211999999999975</v>
      </c>
      <c r="AK132" s="44">
        <f>AH132*0.2</f>
        <v>12.793000000000001</v>
      </c>
      <c r="AL132" s="85"/>
    </row>
    <row r="133" spans="1:38" s="86" customFormat="1" ht="33.75" customHeight="1">
      <c r="A133" s="36">
        <v>130</v>
      </c>
      <c r="B133" s="48" t="s">
        <v>7</v>
      </c>
      <c r="C133" s="39" t="s">
        <v>8</v>
      </c>
      <c r="D133" s="38" t="s">
        <v>70</v>
      </c>
      <c r="E133" s="39" t="s">
        <v>186</v>
      </c>
      <c r="F133" s="41">
        <v>21</v>
      </c>
      <c r="G133" s="42">
        <f>F133*0.2-0.9002*1.2-0.1147*1.2+1.08024+2.6308-4.503*1.1-0.0225*1.2-0.14*1.2</f>
        <v>1.5448599999999995</v>
      </c>
      <c r="H133" s="42">
        <f>F133*0.6-4.789*2-0.05*1.2-0.276*1.2-2.6308</f>
        <v>0</v>
      </c>
      <c r="I133" s="42">
        <f>F133*0.2</f>
        <v>4.2</v>
      </c>
      <c r="J133" s="42">
        <v>1.75</v>
      </c>
      <c r="K133" s="42">
        <f>J133*0.2-0.0045*0.12-0.00048*1.2-0.0096*1.2</f>
        <v>0.33736400000000005</v>
      </c>
      <c r="L133" s="43">
        <f>J133*0.6+0.0378+0.0726-1.005*1.1</f>
        <v>5.4900000000000171E-2</v>
      </c>
      <c r="M133" s="43">
        <f>J133*0.2</f>
        <v>0.35000000000000003</v>
      </c>
      <c r="N133" s="43">
        <v>2.25</v>
      </c>
      <c r="O133" s="43">
        <f>N133*0.2-0.0135*1.2-0.00144*1.2-0.0288*1.2</f>
        <v>0.39751200000000003</v>
      </c>
      <c r="P133" s="43">
        <f>N133*0.6-1.35</f>
        <v>0</v>
      </c>
      <c r="Q133" s="43">
        <f>N133*0.2</f>
        <v>0.45</v>
      </c>
      <c r="R133" s="43">
        <v>0.17499999999999999</v>
      </c>
      <c r="S133" s="42">
        <f>R133*0.2-0.0006*1.2-0.00006*1.2-0.0012*1.2</f>
        <v>3.2767999999999999E-2</v>
      </c>
      <c r="T133" s="42">
        <f>R133*0.6-0.055*1.1</f>
        <v>4.4499999999999991E-2</v>
      </c>
      <c r="U133" s="42">
        <f>R133*0.2</f>
        <v>3.4999999999999996E-2</v>
      </c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4"/>
      <c r="AJ133" s="44"/>
      <c r="AK133" s="44"/>
      <c r="AL133" s="85"/>
    </row>
    <row r="134" spans="1:38" s="86" customFormat="1" ht="33.75" customHeight="1">
      <c r="A134" s="36">
        <v>131</v>
      </c>
      <c r="B134" s="48" t="s">
        <v>7</v>
      </c>
      <c r="C134" s="39" t="s">
        <v>49</v>
      </c>
      <c r="D134" s="38" t="s">
        <v>70</v>
      </c>
      <c r="E134" s="40">
        <v>45757</v>
      </c>
      <c r="F134" s="41"/>
      <c r="G134" s="42"/>
      <c r="H134" s="42"/>
      <c r="I134" s="42"/>
      <c r="J134" s="42"/>
      <c r="K134" s="42"/>
      <c r="L134" s="43"/>
      <c r="M134" s="43"/>
      <c r="N134" s="43"/>
      <c r="O134" s="43"/>
      <c r="P134" s="43"/>
      <c r="Q134" s="43"/>
      <c r="R134" s="43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9">
        <v>12.1472</v>
      </c>
      <c r="AE134" s="42">
        <f>AD134*0.2-0.072*1.1-0.5833*1.1-0.669*1.1</f>
        <v>0.97270999999999963</v>
      </c>
      <c r="AF134" s="42">
        <f>AD134*0.6</f>
        <v>7.2883199999999997</v>
      </c>
      <c r="AG134" s="42">
        <f>AD134*0.2</f>
        <v>2.42944</v>
      </c>
      <c r="AH134" s="42"/>
      <c r="AI134" s="44"/>
      <c r="AJ134" s="44"/>
      <c r="AK134" s="44"/>
      <c r="AL134" s="85"/>
    </row>
    <row r="135" spans="1:38" s="86" customFormat="1" ht="33.75" customHeight="1">
      <c r="A135" s="36">
        <v>132</v>
      </c>
      <c r="B135" s="53" t="s">
        <v>7</v>
      </c>
      <c r="C135" s="39" t="s">
        <v>187</v>
      </c>
      <c r="D135" s="38"/>
      <c r="E135" s="39"/>
      <c r="F135" s="41"/>
      <c r="G135" s="42"/>
      <c r="H135" s="96">
        <f>1.08024-1.08024</f>
        <v>0</v>
      </c>
      <c r="I135" s="42"/>
      <c r="J135" s="42"/>
      <c r="K135" s="42"/>
      <c r="L135" s="43">
        <f>0.0054</f>
        <v>5.4000000000000003E-3</v>
      </c>
      <c r="M135" s="43"/>
      <c r="N135" s="43"/>
      <c r="O135" s="43"/>
      <c r="P135" s="43">
        <f>0.0162</f>
        <v>1.6199999999999999E-2</v>
      </c>
      <c r="Q135" s="43"/>
      <c r="R135" s="43"/>
      <c r="S135" s="42"/>
      <c r="T135" s="96">
        <f>0.00072</f>
        <v>7.2000000000000005E-4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4"/>
      <c r="AJ135" s="44"/>
      <c r="AK135" s="44"/>
      <c r="AL135" s="85"/>
    </row>
    <row r="136" spans="1:38" s="86" customFormat="1" ht="33.75" customHeight="1">
      <c r="A136" s="36">
        <v>133</v>
      </c>
      <c r="B136" s="48" t="s">
        <v>7</v>
      </c>
      <c r="C136" s="39" t="s">
        <v>144</v>
      </c>
      <c r="D136" s="39"/>
      <c r="E136" s="39"/>
      <c r="F136" s="41"/>
      <c r="G136" s="42"/>
      <c r="H136" s="42">
        <f>2.6308-2.6308</f>
        <v>0</v>
      </c>
      <c r="I136" s="42"/>
      <c r="J136" s="42"/>
      <c r="K136" s="42"/>
      <c r="L136" s="43">
        <f>0.9951</f>
        <v>0.99509999999999998</v>
      </c>
      <c r="M136" s="43"/>
      <c r="N136" s="43"/>
      <c r="O136" s="43"/>
      <c r="P136" s="43">
        <f>1.35</f>
        <v>1.35</v>
      </c>
      <c r="Q136" s="43"/>
      <c r="R136" s="43"/>
      <c r="S136" s="42"/>
      <c r="T136" s="42">
        <f>0.0605</f>
        <v>6.0499999999999998E-2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4"/>
      <c r="AJ136" s="44"/>
      <c r="AK136" s="44"/>
      <c r="AL136" s="90"/>
    </row>
    <row r="137" spans="1:38" ht="33.75" customHeight="1">
      <c r="A137" s="36">
        <v>134</v>
      </c>
      <c r="B137" s="53" t="s">
        <v>24</v>
      </c>
      <c r="C137" s="39" t="s">
        <v>188</v>
      </c>
      <c r="D137" s="39" t="s">
        <v>70</v>
      </c>
      <c r="E137" s="50">
        <v>45340</v>
      </c>
      <c r="F137" s="41"/>
      <c r="G137" s="42"/>
      <c r="H137" s="42"/>
      <c r="I137" s="42"/>
      <c r="J137" s="44"/>
      <c r="K137" s="42"/>
      <c r="L137" s="43"/>
      <c r="M137" s="43"/>
      <c r="N137" s="54"/>
      <c r="O137" s="54"/>
      <c r="P137" s="54"/>
      <c r="Q137" s="54"/>
      <c r="R137" s="54"/>
      <c r="S137" s="44"/>
      <c r="T137" s="44"/>
      <c r="U137" s="44"/>
      <c r="V137" s="44"/>
      <c r="W137" s="42"/>
      <c r="X137" s="42"/>
      <c r="Y137" s="42"/>
      <c r="Z137" s="42"/>
      <c r="AA137" s="42"/>
      <c r="AB137" s="42"/>
      <c r="AC137" s="42"/>
      <c r="AD137" s="42">
        <v>2.9742999999999999</v>
      </c>
      <c r="AE137" s="42">
        <f>AD137*0.2</f>
        <v>0.59486000000000006</v>
      </c>
      <c r="AF137" s="42">
        <f>AD137*0.6-1.523*1.1-0.0429*1.1+0.0258-0.0715*1.1-0.0092</f>
        <v>3.9999999999817959E-5</v>
      </c>
      <c r="AG137" s="42">
        <f>AD137*0.2</f>
        <v>0.59486000000000006</v>
      </c>
      <c r="AH137" s="42"/>
      <c r="AI137" s="42"/>
      <c r="AJ137" s="42"/>
      <c r="AK137" s="42"/>
      <c r="AL137" s="45"/>
    </row>
    <row r="138" spans="1:38" ht="33.75" customHeight="1">
      <c r="A138" s="36">
        <v>135</v>
      </c>
      <c r="B138" s="53" t="s">
        <v>24</v>
      </c>
      <c r="C138" s="39" t="s">
        <v>189</v>
      </c>
      <c r="D138" s="39" t="s">
        <v>70</v>
      </c>
      <c r="E138" s="50">
        <v>45405</v>
      </c>
      <c r="F138" s="41"/>
      <c r="G138" s="42"/>
      <c r="H138" s="42"/>
      <c r="I138" s="42"/>
      <c r="J138" s="44"/>
      <c r="K138" s="42"/>
      <c r="L138" s="43"/>
      <c r="M138" s="43"/>
      <c r="N138" s="54"/>
      <c r="O138" s="54"/>
      <c r="P138" s="54"/>
      <c r="Q138" s="54"/>
      <c r="R138" s="54"/>
      <c r="S138" s="44"/>
      <c r="T138" s="44"/>
      <c r="U138" s="44"/>
      <c r="V138" s="44">
        <v>0.06</v>
      </c>
      <c r="W138" s="42">
        <f>V138*0.2</f>
        <v>1.2E-2</v>
      </c>
      <c r="X138" s="42">
        <f>V138*0.6</f>
        <v>3.5999999999999997E-2</v>
      </c>
      <c r="Y138" s="42">
        <f>V138*0.2</f>
        <v>1.2E-2</v>
      </c>
      <c r="Z138" s="42">
        <v>0.28100000000000003</v>
      </c>
      <c r="AA138" s="42">
        <f>Z138*0.2</f>
        <v>5.6200000000000007E-2</v>
      </c>
      <c r="AB138" s="42">
        <f>Z138*0.6</f>
        <v>0.1686</v>
      </c>
      <c r="AC138" s="42">
        <f>Z138*0.2</f>
        <v>5.6200000000000007E-2</v>
      </c>
      <c r="AD138" s="42">
        <v>4.2999999999999997E-2</v>
      </c>
      <c r="AE138" s="42">
        <f>AD138*0.2</f>
        <v>8.6E-3</v>
      </c>
      <c r="AF138" s="42">
        <f>AD138*0.6-0.0258</f>
        <v>0</v>
      </c>
      <c r="AG138" s="42">
        <f>AD138*0.2</f>
        <v>8.6E-3</v>
      </c>
      <c r="AH138" s="42"/>
      <c r="AI138" s="42"/>
      <c r="AJ138" s="42"/>
      <c r="AK138" s="42"/>
      <c r="AL138" s="45"/>
    </row>
    <row r="139" spans="1:38" ht="33.75" customHeight="1">
      <c r="A139" s="36">
        <v>136</v>
      </c>
      <c r="B139" s="53" t="s">
        <v>24</v>
      </c>
      <c r="C139" s="39" t="s">
        <v>190</v>
      </c>
      <c r="D139" s="39" t="s">
        <v>70</v>
      </c>
      <c r="E139" s="50">
        <v>45423</v>
      </c>
      <c r="F139" s="41"/>
      <c r="G139" s="42"/>
      <c r="H139" s="42"/>
      <c r="I139" s="42"/>
      <c r="J139" s="44"/>
      <c r="K139" s="42"/>
      <c r="L139" s="43"/>
      <c r="M139" s="43"/>
      <c r="N139" s="54"/>
      <c r="O139" s="54"/>
      <c r="P139" s="54"/>
      <c r="Q139" s="54"/>
      <c r="R139" s="54"/>
      <c r="S139" s="44"/>
      <c r="T139" s="44"/>
      <c r="U139" s="44"/>
      <c r="V139" s="44"/>
      <c r="W139" s="42"/>
      <c r="X139" s="42"/>
      <c r="Y139" s="42"/>
      <c r="Z139" s="42"/>
      <c r="AA139" s="42"/>
      <c r="AB139" s="42"/>
      <c r="AC139" s="42"/>
      <c r="AD139" s="42">
        <v>0.4</v>
      </c>
      <c r="AE139" s="42">
        <f>AD139*0.2</f>
        <v>8.0000000000000016E-2</v>
      </c>
      <c r="AF139" s="42">
        <f>AD139*0.6-0.24</f>
        <v>0</v>
      </c>
      <c r="AG139" s="42">
        <f>AD139*0.2</f>
        <v>8.0000000000000016E-2</v>
      </c>
      <c r="AH139" s="42"/>
      <c r="AI139" s="42"/>
      <c r="AJ139" s="42"/>
      <c r="AK139" s="42"/>
      <c r="AL139" s="45"/>
    </row>
    <row r="140" spans="1:38" ht="33.75" customHeight="1">
      <c r="A140" s="36">
        <v>137</v>
      </c>
      <c r="B140" s="53" t="s">
        <v>24</v>
      </c>
      <c r="C140" s="39" t="s">
        <v>191</v>
      </c>
      <c r="D140" s="39" t="s">
        <v>70</v>
      </c>
      <c r="E140" s="50">
        <v>45489</v>
      </c>
      <c r="F140" s="41"/>
      <c r="G140" s="42"/>
      <c r="H140" s="42"/>
      <c r="I140" s="42"/>
      <c r="J140" s="44"/>
      <c r="K140" s="42"/>
      <c r="L140" s="43"/>
      <c r="M140" s="43"/>
      <c r="N140" s="54"/>
      <c r="O140" s="54"/>
      <c r="P140" s="54"/>
      <c r="Q140" s="54"/>
      <c r="R140" s="54"/>
      <c r="S140" s="44"/>
      <c r="T140" s="44"/>
      <c r="U140" s="44"/>
      <c r="V140" s="44"/>
      <c r="W140" s="42"/>
      <c r="X140" s="42"/>
      <c r="Y140" s="42"/>
      <c r="Z140" s="42"/>
      <c r="AA140" s="42"/>
      <c r="AB140" s="42"/>
      <c r="AC140" s="42"/>
      <c r="AD140" s="42">
        <v>1.85</v>
      </c>
      <c r="AE140" s="42">
        <f>AD140*0.2</f>
        <v>0.37000000000000005</v>
      </c>
      <c r="AF140" s="42">
        <f>AD140*0.6-0.232*1.1-0.1843*1.1-0.6521</f>
        <v>-2.9999999999974492E-5</v>
      </c>
      <c r="AG140" s="42">
        <f>AD140*0.2</f>
        <v>0.37000000000000005</v>
      </c>
      <c r="AH140" s="42">
        <v>2.4502999999999999</v>
      </c>
      <c r="AI140" s="42">
        <f>AH140*0.2+0.054+0.018+0.8702+0.0025+0.0008-0.5667*2-0.0873*2</f>
        <v>0.12755999999999976</v>
      </c>
      <c r="AJ140" s="42">
        <f>AH140*0.6-0.3*2-0.8702</f>
        <v>-2.0000000000131024E-5</v>
      </c>
      <c r="AK140" s="42">
        <f>AH140*0.2</f>
        <v>0.49006</v>
      </c>
      <c r="AL140" s="45"/>
    </row>
    <row r="141" spans="1:38" ht="33.75" customHeight="1">
      <c r="A141" s="36">
        <v>138</v>
      </c>
      <c r="B141" s="53" t="s">
        <v>24</v>
      </c>
      <c r="C141" s="39" t="s">
        <v>192</v>
      </c>
      <c r="D141" s="39" t="s">
        <v>70</v>
      </c>
      <c r="E141" s="50">
        <v>45489</v>
      </c>
      <c r="F141" s="41"/>
      <c r="G141" s="42"/>
      <c r="H141" s="42"/>
      <c r="I141" s="42"/>
      <c r="J141" s="44"/>
      <c r="K141" s="42"/>
      <c r="L141" s="43"/>
      <c r="M141" s="43"/>
      <c r="N141" s="54"/>
      <c r="O141" s="54"/>
      <c r="P141" s="54"/>
      <c r="Q141" s="54"/>
      <c r="R141" s="54"/>
      <c r="S141" s="44"/>
      <c r="T141" s="44"/>
      <c r="U141" s="44"/>
      <c r="V141" s="44"/>
      <c r="W141" s="42"/>
      <c r="X141" s="42"/>
      <c r="Y141" s="42"/>
      <c r="Z141" s="42"/>
      <c r="AA141" s="42"/>
      <c r="AB141" s="42"/>
      <c r="AC141" s="42"/>
      <c r="AD141" s="42">
        <v>4.4299999999999999E-2</v>
      </c>
      <c r="AE141" s="42">
        <f>AD141*0.2</f>
        <v>8.8599999999999998E-3</v>
      </c>
      <c r="AF141" s="42">
        <f>AD141*0.6-0.0266</f>
        <v>-1.9999999999999185E-5</v>
      </c>
      <c r="AG141" s="42">
        <f>AD141*0.2</f>
        <v>8.8599999999999998E-3</v>
      </c>
      <c r="AH141" s="42">
        <v>4.1999999999999997E-3</v>
      </c>
      <c r="AI141" s="42">
        <f>AH141*0.2-0.0008</f>
        <v>3.9999999999999996E-5</v>
      </c>
      <c r="AJ141" s="42">
        <f>AH141*0.6-0.0025</f>
        <v>1.9999999999999619E-5</v>
      </c>
      <c r="AK141" s="42">
        <f>AH141*0.2</f>
        <v>8.4000000000000003E-4</v>
      </c>
      <c r="AL141" s="45"/>
    </row>
    <row r="142" spans="1:38" ht="33.75" customHeight="1">
      <c r="A142" s="36">
        <v>139</v>
      </c>
      <c r="B142" s="53" t="s">
        <v>24</v>
      </c>
      <c r="C142" s="39" t="s">
        <v>193</v>
      </c>
      <c r="D142" s="39" t="s">
        <v>70</v>
      </c>
      <c r="E142" s="50">
        <v>45624</v>
      </c>
      <c r="F142" s="98">
        <v>0.42299999999999999</v>
      </c>
      <c r="G142" s="42">
        <f>F142*0.2</f>
        <v>8.4600000000000009E-2</v>
      </c>
      <c r="H142" s="42">
        <f>F142*0.6</f>
        <v>0.25379999999999997</v>
      </c>
      <c r="I142" s="42">
        <f>F142*0.2</f>
        <v>8.4600000000000009E-2</v>
      </c>
      <c r="J142" s="99">
        <v>5.0000000000000001E-3</v>
      </c>
      <c r="K142" s="42">
        <f>J142*0.2</f>
        <v>1E-3</v>
      </c>
      <c r="L142" s="43">
        <f>J142*0.6</f>
        <v>3.0000000000000001E-3</v>
      </c>
      <c r="M142" s="43">
        <f>J142*0.2</f>
        <v>1E-3</v>
      </c>
      <c r="N142" s="100">
        <v>0.12690000000000001</v>
      </c>
      <c r="O142" s="54">
        <f>N142*0.2</f>
        <v>2.5380000000000003E-2</v>
      </c>
      <c r="P142" s="54">
        <f>N142*0.6</f>
        <v>7.6139999999999999E-2</v>
      </c>
      <c r="Q142" s="54">
        <f>N142*0.2</f>
        <v>2.5380000000000003E-2</v>
      </c>
      <c r="R142" s="100">
        <v>4.1999999999999997E-3</v>
      </c>
      <c r="S142" s="44">
        <f>R142*0.2</f>
        <v>8.4000000000000003E-4</v>
      </c>
      <c r="T142" s="44">
        <f>R142*0.6</f>
        <v>2.5199999999999997E-3</v>
      </c>
      <c r="U142" s="44">
        <f>R142*0.2</f>
        <v>8.4000000000000003E-4</v>
      </c>
      <c r="V142" s="44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5"/>
    </row>
    <row r="143" spans="1:38" ht="33.75" customHeight="1">
      <c r="A143" s="36">
        <v>140</v>
      </c>
      <c r="B143" s="53" t="s">
        <v>24</v>
      </c>
      <c r="C143" s="39" t="s">
        <v>194</v>
      </c>
      <c r="D143" s="39" t="s">
        <v>70</v>
      </c>
      <c r="E143" s="50">
        <v>45469</v>
      </c>
      <c r="F143" s="41"/>
      <c r="G143" s="42"/>
      <c r="H143" s="42"/>
      <c r="I143" s="42"/>
      <c r="J143" s="44"/>
      <c r="K143" s="42"/>
      <c r="L143" s="43"/>
      <c r="M143" s="43"/>
      <c r="N143" s="54"/>
      <c r="O143" s="54"/>
      <c r="P143" s="54"/>
      <c r="Q143" s="54"/>
      <c r="R143" s="54"/>
      <c r="S143" s="44"/>
      <c r="T143" s="44"/>
      <c r="U143" s="44"/>
      <c r="V143" s="44" t="s">
        <v>195</v>
      </c>
      <c r="W143" s="42">
        <f>V143*0.2</f>
        <v>2.0000000000000004E-2</v>
      </c>
      <c r="X143" s="42">
        <f>V143*0.6-0.01*1.1-0.0366*1.1</f>
        <v>8.7399999999999908E-3</v>
      </c>
      <c r="Y143" s="42">
        <f>V143*0.2</f>
        <v>2.0000000000000004E-2</v>
      </c>
      <c r="Z143" s="42" t="s">
        <v>196</v>
      </c>
      <c r="AA143" s="42">
        <f>Z143*0.2</f>
        <v>9.3600000000000017E-2</v>
      </c>
      <c r="AB143" s="42">
        <f>Z143*0.6-0.2338*1.2</f>
        <v>2.4000000000001798E-4</v>
      </c>
      <c r="AC143" s="42">
        <f>Z143*0.2</f>
        <v>9.3600000000000017E-2</v>
      </c>
      <c r="AD143" s="42" t="s">
        <v>197</v>
      </c>
      <c r="AE143" s="42">
        <f>AD143*0.2</f>
        <v>5.3200000000000004E-2</v>
      </c>
      <c r="AF143" s="42">
        <f>AD143*0.6-0.0715*1.1-0.081</f>
        <v>-5.0000000000008371E-5</v>
      </c>
      <c r="AG143" s="42">
        <f>AD143*0.2</f>
        <v>5.3200000000000004E-2</v>
      </c>
      <c r="AH143" s="42" t="s">
        <v>198</v>
      </c>
      <c r="AI143" s="42">
        <f>AH143*0.2-0.018</f>
        <v>0</v>
      </c>
      <c r="AJ143" s="42">
        <f>AH143*0.6-0.054</f>
        <v>0</v>
      </c>
      <c r="AK143" s="42">
        <f>AH143*0.2</f>
        <v>1.7999999999999999E-2</v>
      </c>
      <c r="AL143" s="45"/>
    </row>
    <row r="144" spans="1:38" ht="33.75" customHeight="1">
      <c r="A144" s="36">
        <v>141</v>
      </c>
      <c r="B144" s="53" t="s">
        <v>24</v>
      </c>
      <c r="C144" s="39" t="s">
        <v>25</v>
      </c>
      <c r="D144" s="39" t="s">
        <v>70</v>
      </c>
      <c r="E144" s="50">
        <v>45489</v>
      </c>
      <c r="F144" s="41"/>
      <c r="G144" s="42"/>
      <c r="H144" s="42"/>
      <c r="I144" s="42"/>
      <c r="J144" s="44"/>
      <c r="K144" s="42"/>
      <c r="L144" s="43"/>
      <c r="M144" s="43"/>
      <c r="N144" s="54"/>
      <c r="O144" s="54"/>
      <c r="P144" s="54"/>
      <c r="Q144" s="54"/>
      <c r="R144" s="54"/>
      <c r="S144" s="44"/>
      <c r="T144" s="44"/>
      <c r="U144" s="44"/>
      <c r="V144" s="44">
        <v>0.17199999999999999</v>
      </c>
      <c r="W144" s="42">
        <f>V144*0.2</f>
        <v>3.44E-2</v>
      </c>
      <c r="X144" s="42">
        <f>V144*0.6</f>
        <v>0.10319999999999999</v>
      </c>
      <c r="Y144" s="42">
        <f>V144*0.2</f>
        <v>3.44E-2</v>
      </c>
      <c r="Z144" s="42">
        <v>8.4149999999999991</v>
      </c>
      <c r="AA144" s="42">
        <f>Z144*0.2</f>
        <v>1.6829999999999998</v>
      </c>
      <c r="AB144" s="42">
        <f>Z144*0.6-0.1711*1.2</f>
        <v>4.8436799999999991</v>
      </c>
      <c r="AC144" s="42">
        <f>Z144*0.2</f>
        <v>1.6829999999999998</v>
      </c>
      <c r="AD144" s="42">
        <v>1.2869999999999999</v>
      </c>
      <c r="AE144" s="42">
        <f>AD144*0.2-0.0535*1.1</f>
        <v>0.19855</v>
      </c>
      <c r="AF144" s="42">
        <f>AD144*0.6-0.7722</f>
        <v>0</v>
      </c>
      <c r="AG144" s="42">
        <f>AD144*0.2</f>
        <v>0.25740000000000002</v>
      </c>
      <c r="AH144" s="42"/>
      <c r="AI144" s="42"/>
      <c r="AJ144" s="42"/>
      <c r="AK144" s="42"/>
      <c r="AL144" s="45"/>
    </row>
    <row r="145" spans="1:38" ht="33.75" customHeight="1">
      <c r="A145" s="36">
        <v>142</v>
      </c>
      <c r="B145" s="53" t="s">
        <v>19</v>
      </c>
      <c r="C145" s="38" t="s">
        <v>199</v>
      </c>
      <c r="D145" s="39" t="s">
        <v>70</v>
      </c>
      <c r="E145" s="40">
        <v>45224</v>
      </c>
      <c r="F145" s="41"/>
      <c r="G145" s="42"/>
      <c r="H145" s="42"/>
      <c r="I145" s="42"/>
      <c r="J145" s="44"/>
      <c r="K145" s="42"/>
      <c r="L145" s="43"/>
      <c r="M145" s="43"/>
      <c r="N145" s="54"/>
      <c r="O145" s="54"/>
      <c r="P145" s="54"/>
      <c r="Q145" s="54"/>
      <c r="R145" s="54"/>
      <c r="S145" s="44"/>
      <c r="T145" s="44"/>
      <c r="U145" s="44"/>
      <c r="V145" s="44">
        <v>1.9E-2</v>
      </c>
      <c r="W145" s="42">
        <f>V145*0.2</f>
        <v>3.8E-3</v>
      </c>
      <c r="X145" s="42">
        <f>V145*0.6</f>
        <v>1.1399999999999999E-2</v>
      </c>
      <c r="Y145" s="42">
        <f>V145*0.2</f>
        <v>3.8E-3</v>
      </c>
      <c r="Z145" s="42">
        <v>0.93500000000000005</v>
      </c>
      <c r="AA145" s="42">
        <f>Z145*0.2</f>
        <v>0.18700000000000003</v>
      </c>
      <c r="AB145" s="42">
        <f>Z145*0.6-0.561</f>
        <v>0</v>
      </c>
      <c r="AC145" s="42">
        <f>Z145*0.2</f>
        <v>0.18700000000000003</v>
      </c>
      <c r="AD145" s="42">
        <v>3.46</v>
      </c>
      <c r="AE145" s="101">
        <f>AD145*0.2-0.2617*1.1-0.0286*1.1-0.37267</f>
        <v>0</v>
      </c>
      <c r="AF145" s="42">
        <f>AD145*0.6+0.0852+0.2145-0.4457*1.1-0.0286*1.1-0.645*1.1+0.0916-0.1716*1.1-0.5263*1.1-0.00286*1.1</f>
        <v>0.46523399999999993</v>
      </c>
      <c r="AG145" s="42">
        <f>AD145*0.2</f>
        <v>0.69200000000000006</v>
      </c>
      <c r="AH145" s="42"/>
      <c r="AI145" s="42"/>
      <c r="AJ145" s="42"/>
      <c r="AK145" s="42"/>
      <c r="AL145" s="45"/>
    </row>
    <row r="146" spans="1:38" s="46" customFormat="1" ht="26.25" customHeight="1">
      <c r="A146" s="36">
        <v>143</v>
      </c>
      <c r="B146" s="53" t="s">
        <v>19</v>
      </c>
      <c r="C146" s="38" t="s">
        <v>200</v>
      </c>
      <c r="D146" s="38" t="s">
        <v>70</v>
      </c>
      <c r="E146" s="71">
        <v>45267</v>
      </c>
      <c r="F146" s="72"/>
      <c r="G146" s="73"/>
      <c r="H146" s="73"/>
      <c r="I146" s="73"/>
      <c r="J146" s="75"/>
      <c r="K146" s="73"/>
      <c r="L146" s="74"/>
      <c r="M146" s="74"/>
      <c r="N146" s="102"/>
      <c r="O146" s="102"/>
      <c r="P146" s="102"/>
      <c r="Q146" s="102"/>
      <c r="R146" s="102"/>
      <c r="S146" s="75"/>
      <c r="T146" s="75"/>
      <c r="U146" s="75"/>
      <c r="V146" s="44">
        <v>61.875700000000002</v>
      </c>
      <c r="W146" s="42">
        <f>V146*0.2-0.02*1.1-0.0122*1.1-0.0191*1.1-0.012*1.1-0.06*1.1-0.08*1.1-0.02*1.1-0.086*1.1-0.002*1.1-0.002*1.1-0.542*1.1</f>
        <v>11.434310000000002</v>
      </c>
      <c r="X146" s="42">
        <f>V146*0.6-0.2*1.1-0.015*1.1-0.3*1.1-0.0565*1.1-0.04*1.1-36.4528</f>
        <v>-3.0000000002416982E-5</v>
      </c>
      <c r="Y146" s="42">
        <f>V146*0.2</f>
        <v>12.375140000000002</v>
      </c>
      <c r="Z146" s="42">
        <v>71.934600000000003</v>
      </c>
      <c r="AA146" s="44">
        <f>Z146*0.2-0.1871*1.2-0.1549*1.2-0.281*1.2-0.561*1.2-0.561*1.2-0.374*1.2-0.0936*1.2-0.935*1.2-0.0187*1.2-0.043*1.2</f>
        <v>10.535760000000003</v>
      </c>
      <c r="AB146" s="42">
        <f>Z146*0.6-0.937*1.2-0.0893*1.2-1.964*1.2-0.1403*1.2-0.045*1.2-0.3055*1.2-0.2338*1.2-0.234*1.2-7.3096*1.2-0.1871*1.2-29.426</f>
        <v>4.0000000005591119E-5</v>
      </c>
      <c r="AC146" s="42">
        <f>Z146*0.2</f>
        <v>14.386920000000002</v>
      </c>
      <c r="AD146" s="42">
        <v>11.507099999999999</v>
      </c>
      <c r="AE146" s="103">
        <f>AD146*0.2-0.126*1.1-0.2292*1.1-0.0708*1.1-0.758*1.1-0.092*1.1-0.0858*1.1-0.1986*1.1+0.37267-0.7931*1.1-0.0852</f>
        <v>3.9999999999762448E-5</v>
      </c>
      <c r="AF146" s="103">
        <f>AD146*0.6+0.2748-2.3016*1.1-0.757*1.1-0.6021*1.1-0.0039*1.1-1.3892*1.1-0.0381*1.1+0.0092-0.9357*1.1-0.3122*1.1-0.2145</f>
        <v>-2.0000000000824913E-5</v>
      </c>
      <c r="AG146" s="73">
        <f>AD146*0.2</f>
        <v>2.3014199999999998</v>
      </c>
      <c r="AH146" s="73">
        <v>16.11</v>
      </c>
      <c r="AI146" s="73">
        <f>AH146*0.2-0.1706*2-1.0507*2-0.012*2-0.0855*2-0.5844</f>
        <v>0</v>
      </c>
      <c r="AJ146" s="73">
        <f>AH146*0.6+9.9271-7.345*2-0.0973*2-0.0074*2-0.0535*2-0.8761*2-0.0374*2+0.6664+0.5844-1.6723*2-0.1374*2-0.0031*2</f>
        <v>0.38489999999999885</v>
      </c>
      <c r="AK146" s="73">
        <f>AH146*0.2</f>
        <v>3.222</v>
      </c>
      <c r="AL146" s="45"/>
    </row>
    <row r="147" spans="1:38" s="46" customFormat="1" ht="26.25" customHeight="1">
      <c r="A147" s="36">
        <v>144</v>
      </c>
      <c r="B147" s="53" t="s">
        <v>19</v>
      </c>
      <c r="C147" s="38" t="s">
        <v>201</v>
      </c>
      <c r="D147" s="39" t="s">
        <v>70</v>
      </c>
      <c r="E147" s="40">
        <v>45127</v>
      </c>
      <c r="F147" s="41"/>
      <c r="G147" s="42"/>
      <c r="H147" s="42"/>
      <c r="I147" s="42"/>
      <c r="J147" s="44"/>
      <c r="K147" s="42"/>
      <c r="L147" s="43"/>
      <c r="M147" s="43"/>
      <c r="N147" s="54"/>
      <c r="O147" s="54"/>
      <c r="P147" s="54"/>
      <c r="Q147" s="54"/>
      <c r="R147" s="54"/>
      <c r="S147" s="44"/>
      <c r="T147" s="44"/>
      <c r="U147" s="44"/>
      <c r="V147" s="44"/>
      <c r="W147" s="42"/>
      <c r="X147" s="42"/>
      <c r="Y147" s="42"/>
      <c r="Z147" s="42"/>
      <c r="AA147" s="42"/>
      <c r="AB147" s="42"/>
      <c r="AC147" s="42"/>
      <c r="AD147" s="42">
        <v>0.45800000000000002</v>
      </c>
      <c r="AE147" s="104">
        <f>AD147*0.2-0.0916</f>
        <v>0</v>
      </c>
      <c r="AF147" s="104">
        <f>AD147*0.6-0.2748</f>
        <v>0</v>
      </c>
      <c r="AG147" s="42">
        <f>AD147*0.2</f>
        <v>9.1600000000000015E-2</v>
      </c>
      <c r="AH147" s="42">
        <v>16.545200000000001</v>
      </c>
      <c r="AI147" s="42">
        <f>AH147*0.2-0.575*2-0.214*2-0.264*2-0.2683*2-0.6664</f>
        <v>4.0000000000595115E-5</v>
      </c>
      <c r="AJ147" s="42">
        <f>AH147*0.6-9.9271</f>
        <v>2.0000000001019203E-5</v>
      </c>
      <c r="AK147" s="42">
        <f>AH147*0.2</f>
        <v>3.3090400000000004</v>
      </c>
      <c r="AL147" s="45"/>
    </row>
    <row r="148" spans="1:38" s="46" customFormat="1" ht="26.25" customHeight="1">
      <c r="A148" s="36">
        <v>145</v>
      </c>
      <c r="B148" s="53" t="s">
        <v>19</v>
      </c>
      <c r="C148" s="38" t="s">
        <v>201</v>
      </c>
      <c r="D148" s="39" t="s">
        <v>70</v>
      </c>
      <c r="E148" s="40">
        <v>45224</v>
      </c>
      <c r="F148" s="41">
        <v>6.0347999999999997</v>
      </c>
      <c r="G148" s="42">
        <f>F148*0.2-0.0584*1.2+0.5937-1.441*1.2</f>
        <v>1.3800000000001589E-3</v>
      </c>
      <c r="H148" s="42">
        <f>F148*0.6-1.332*1.2-0.5*1.2</f>
        <v>1.4224799999999997</v>
      </c>
      <c r="I148" s="42">
        <f>F148*0.2</f>
        <v>1.20696</v>
      </c>
      <c r="J148" s="44">
        <v>0.86480000000000001</v>
      </c>
      <c r="K148" s="42">
        <f>J148*0.2-0.00192*1.2</f>
        <v>0.170656</v>
      </c>
      <c r="L148" s="43">
        <f>J148*0.6-0.0058*1.2-0.0192*1.2</f>
        <v>0.48888000000000004</v>
      </c>
      <c r="M148" s="43">
        <f>J148*0.2</f>
        <v>0.17296</v>
      </c>
      <c r="N148" s="54">
        <v>1.4434</v>
      </c>
      <c r="O148" s="54">
        <f>N148*0.2-0.00576*1.2</f>
        <v>0.28176800000000002</v>
      </c>
      <c r="P148" s="54">
        <f>O148*0.6-0.017*1.2-0.0576*1.2</f>
        <v>7.9540800000000009E-2</v>
      </c>
      <c r="Q148" s="54">
        <f>P148*0.2</f>
        <v>1.5908160000000001E-2</v>
      </c>
      <c r="R148" s="54">
        <v>4.7399999999999998E-2</v>
      </c>
      <c r="S148" s="44">
        <f>R148*0.2-0.00024*1.2</f>
        <v>9.1920000000000005E-3</v>
      </c>
      <c r="T148" s="44">
        <f>R148*0.6-0.001*1.2-0.0024*1.2</f>
        <v>2.4359999999999996E-2</v>
      </c>
      <c r="U148" s="44">
        <f>R148*0.2</f>
        <v>9.4800000000000006E-3</v>
      </c>
      <c r="V148" s="44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5"/>
    </row>
    <row r="149" spans="1:38" s="46" customFormat="1" ht="26.25" customHeight="1">
      <c r="A149" s="36">
        <v>146</v>
      </c>
      <c r="B149" s="53" t="s">
        <v>19</v>
      </c>
      <c r="C149" s="38" t="s">
        <v>200</v>
      </c>
      <c r="D149" s="39" t="s">
        <v>70</v>
      </c>
      <c r="E149" s="40">
        <v>45238</v>
      </c>
      <c r="F149" s="41">
        <v>2.9683000000000002</v>
      </c>
      <c r="G149" s="42">
        <f>F149*0.2-0.5937</f>
        <v>-3.9999999999928981E-5</v>
      </c>
      <c r="H149" s="42">
        <f>F149*0.6-1.08024-0.3073*1.1-0.131*1.2</f>
        <v>0.20550999999999986</v>
      </c>
      <c r="I149" s="42">
        <f>F149*0.2</f>
        <v>0.59366000000000008</v>
      </c>
      <c r="J149" s="44">
        <v>3.5000000000000003E-2</v>
      </c>
      <c r="K149" s="42">
        <f>J149*0.2</f>
        <v>7.000000000000001E-3</v>
      </c>
      <c r="L149" s="43">
        <f>J149*0.6-0.0054-0.0014*1.1</f>
        <v>1.4060000000000001E-2</v>
      </c>
      <c r="M149" s="43">
        <f>J149*0.2</f>
        <v>7.000000000000001E-3</v>
      </c>
      <c r="N149" s="54">
        <v>0.1051</v>
      </c>
      <c r="O149" s="54">
        <f>N149*0.2</f>
        <v>2.102E-2</v>
      </c>
      <c r="P149" s="54">
        <f>N149*0.6-0.0162-0.0043*1.1</f>
        <v>4.2129999999999994E-2</v>
      </c>
      <c r="Q149" s="54">
        <f>N149*0.2</f>
        <v>2.102E-2</v>
      </c>
      <c r="R149" s="54">
        <v>4.4000000000000003E-3</v>
      </c>
      <c r="S149" s="44">
        <f>R149*0.2</f>
        <v>8.8000000000000014E-4</v>
      </c>
      <c r="T149" s="44">
        <f>R149*0.6-0.00072-0.0002*1.1</f>
        <v>1.6999999999999997E-3</v>
      </c>
      <c r="U149" s="44">
        <f>R149*0.2</f>
        <v>8.8000000000000014E-4</v>
      </c>
      <c r="V149" s="44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5"/>
    </row>
    <row r="150" spans="1:38" s="46" customFormat="1" ht="26.25" customHeight="1">
      <c r="A150" s="36">
        <v>147</v>
      </c>
      <c r="B150" s="53" t="s">
        <v>19</v>
      </c>
      <c r="C150" s="38" t="s">
        <v>202</v>
      </c>
      <c r="D150" s="38" t="s">
        <v>70</v>
      </c>
      <c r="E150" s="71">
        <v>45303</v>
      </c>
      <c r="F150" s="72">
        <v>140.27000000000001</v>
      </c>
      <c r="G150" s="73">
        <f>F150*0.2</f>
        <v>28.054000000000002</v>
      </c>
      <c r="H150" s="73">
        <f>F150*0.8</f>
        <v>112.21600000000001</v>
      </c>
      <c r="I150" s="73">
        <v>0</v>
      </c>
      <c r="J150" s="75">
        <v>9.9</v>
      </c>
      <c r="K150" s="73">
        <f>J150*0.2</f>
        <v>1.9800000000000002</v>
      </c>
      <c r="L150" s="74">
        <f>J150*0.8</f>
        <v>7.9200000000000008</v>
      </c>
      <c r="M150" s="74">
        <v>0</v>
      </c>
      <c r="N150" s="102">
        <v>13.96</v>
      </c>
      <c r="O150" s="102">
        <f>N150*0.2</f>
        <v>2.7920000000000003</v>
      </c>
      <c r="P150" s="102">
        <f>N150*0.8</f>
        <v>11.168000000000001</v>
      </c>
      <c r="Q150" s="102">
        <v>0</v>
      </c>
      <c r="R150" s="102">
        <v>0.12</v>
      </c>
      <c r="S150" s="75">
        <f>R150*0.2</f>
        <v>2.4E-2</v>
      </c>
      <c r="T150" s="75">
        <f>R150*0.8</f>
        <v>9.6000000000000002E-2</v>
      </c>
      <c r="U150" s="75">
        <v>0</v>
      </c>
      <c r="V150" s="44"/>
      <c r="W150" s="42"/>
      <c r="X150" s="42"/>
      <c r="Y150" s="42"/>
      <c r="Z150" s="42"/>
      <c r="AA150" s="44"/>
      <c r="AB150" s="42"/>
      <c r="AC150" s="42"/>
      <c r="AD150" s="42"/>
      <c r="AE150" s="73"/>
      <c r="AF150" s="45"/>
      <c r="AG150" s="73"/>
      <c r="AH150" s="73"/>
      <c r="AI150" s="73"/>
      <c r="AJ150" s="73"/>
      <c r="AK150" s="73"/>
      <c r="AL150" s="45"/>
    </row>
    <row r="151" spans="1:38" s="119" customFormat="1" ht="26.25" customHeight="1">
      <c r="A151" s="36">
        <v>148</v>
      </c>
      <c r="B151" s="105" t="s">
        <v>19</v>
      </c>
      <c r="C151" s="106" t="s">
        <v>203</v>
      </c>
      <c r="D151" s="106" t="s">
        <v>70</v>
      </c>
      <c r="E151" s="107">
        <v>45609</v>
      </c>
      <c r="F151" s="108"/>
      <c r="G151" s="109"/>
      <c r="H151" s="109"/>
      <c r="I151" s="109"/>
      <c r="J151" s="110"/>
      <c r="K151" s="109"/>
      <c r="L151" s="111"/>
      <c r="M151" s="111"/>
      <c r="N151" s="112"/>
      <c r="O151" s="112"/>
      <c r="P151" s="112"/>
      <c r="Q151" s="112"/>
      <c r="R151" s="112"/>
      <c r="S151" s="110"/>
      <c r="T151" s="110"/>
      <c r="U151" s="110"/>
      <c r="V151" s="113">
        <v>2.145</v>
      </c>
      <c r="W151" s="114">
        <f>V151*0.2</f>
        <v>0.42900000000000005</v>
      </c>
      <c r="X151" s="114">
        <f>V151*0.6-0.09*1.1</f>
        <v>1.1879999999999999</v>
      </c>
      <c r="Y151" s="114">
        <f>V151*0.2</f>
        <v>0.42900000000000005</v>
      </c>
      <c r="Z151" s="115">
        <v>0.44879999999999998</v>
      </c>
      <c r="AA151" s="116">
        <f>Z151*0.2</f>
        <v>8.9760000000000006E-2</v>
      </c>
      <c r="AB151" s="114">
        <f>Z151*0.6</f>
        <v>0.26927999999999996</v>
      </c>
      <c r="AC151" s="114">
        <f>Z151*0.2</f>
        <v>8.9760000000000006E-2</v>
      </c>
      <c r="AD151" s="117">
        <v>1.27</v>
      </c>
      <c r="AE151" s="109">
        <f>AD151*0.2-0.0224*1.1+0.0119+0.0024+0.0132+0.002+0.0456+0.0022+0.0886-0.1664*1.1</f>
        <v>0.21222000000000005</v>
      </c>
      <c r="AF151" s="109">
        <f>AD151*0.6+0.687+0.108+1.8622+0.1368-3.1513*1.1</f>
        <v>8.9569999999999705E-2</v>
      </c>
      <c r="AG151" s="109">
        <f>AD151*0.2</f>
        <v>0.254</v>
      </c>
      <c r="AH151" s="109"/>
      <c r="AI151" s="109"/>
      <c r="AJ151" s="109"/>
      <c r="AK151" s="109"/>
      <c r="AL151" s="118"/>
    </row>
    <row r="152" spans="1:38" s="46" customFormat="1" ht="26.25" customHeight="1">
      <c r="A152" s="36">
        <v>149</v>
      </c>
      <c r="B152" s="53" t="s">
        <v>19</v>
      </c>
      <c r="C152" s="38" t="s">
        <v>204</v>
      </c>
      <c r="D152" s="38" t="s">
        <v>70</v>
      </c>
      <c r="E152" s="71">
        <v>45674</v>
      </c>
      <c r="F152" s="72"/>
      <c r="G152" s="73"/>
      <c r="H152" s="73"/>
      <c r="I152" s="73"/>
      <c r="J152" s="75"/>
      <c r="K152" s="73"/>
      <c r="L152" s="74"/>
      <c r="M152" s="74"/>
      <c r="N152" s="102"/>
      <c r="O152" s="102"/>
      <c r="P152" s="102"/>
      <c r="Q152" s="102"/>
      <c r="R152" s="102"/>
      <c r="S152" s="75"/>
      <c r="T152" s="75"/>
      <c r="U152" s="75"/>
      <c r="V152" s="97">
        <v>1.6</v>
      </c>
      <c r="W152" s="42">
        <f>V152*0.2-0.06*1.1</f>
        <v>0.25400000000000006</v>
      </c>
      <c r="X152" s="42">
        <f>V152*0.6</f>
        <v>0.96</v>
      </c>
      <c r="Y152" s="42">
        <f>V152*0.2</f>
        <v>0.32000000000000006</v>
      </c>
      <c r="Z152" s="49">
        <v>7.484</v>
      </c>
      <c r="AA152" s="44">
        <f>Z152*0.2-0.2805*1.2</f>
        <v>1.1602000000000001</v>
      </c>
      <c r="AB152" s="42">
        <f>Z152*0.6-0.4266*1.2</f>
        <v>3.9784800000000002</v>
      </c>
      <c r="AC152" s="42">
        <f>Z152*0.2</f>
        <v>1.4968000000000001</v>
      </c>
      <c r="AD152" s="51">
        <v>1.145</v>
      </c>
      <c r="AE152" s="103">
        <f>AD152*0.2-0.229</f>
        <v>0</v>
      </c>
      <c r="AF152" s="103">
        <f>AD152*0.6-0.687</f>
        <v>0</v>
      </c>
      <c r="AG152" s="73">
        <f>AD152*0.2</f>
        <v>0.22900000000000001</v>
      </c>
      <c r="AH152" s="73"/>
      <c r="AI152" s="73"/>
      <c r="AJ152" s="73"/>
      <c r="AK152" s="73"/>
      <c r="AL152" s="45"/>
    </row>
    <row r="153" spans="1:38" s="46" customFormat="1" ht="26.25" customHeight="1">
      <c r="A153" s="36">
        <v>150</v>
      </c>
      <c r="B153" s="53" t="s">
        <v>19</v>
      </c>
      <c r="C153" s="38" t="s">
        <v>205</v>
      </c>
      <c r="D153" s="38" t="s">
        <v>70</v>
      </c>
      <c r="E153" s="71">
        <v>45624</v>
      </c>
      <c r="F153" s="72"/>
      <c r="G153" s="73"/>
      <c r="H153" s="73"/>
      <c r="I153" s="73"/>
      <c r="J153" s="75"/>
      <c r="K153" s="73"/>
      <c r="L153" s="74"/>
      <c r="M153" s="74"/>
      <c r="N153" s="102"/>
      <c r="O153" s="102"/>
      <c r="P153" s="102"/>
      <c r="Q153" s="102"/>
      <c r="R153" s="102"/>
      <c r="S153" s="75"/>
      <c r="T153" s="75"/>
      <c r="U153" s="75"/>
      <c r="V153" s="44"/>
      <c r="W153" s="42"/>
      <c r="X153" s="42"/>
      <c r="Y153" s="42"/>
      <c r="Z153" s="42"/>
      <c r="AA153" s="44"/>
      <c r="AB153" s="42"/>
      <c r="AC153" s="42"/>
      <c r="AD153" s="42"/>
      <c r="AE153" s="73"/>
      <c r="AF153" s="45"/>
      <c r="AG153" s="73"/>
      <c r="AH153" s="73" t="s">
        <v>206</v>
      </c>
      <c r="AI153" s="73">
        <f>AH153*0.2</f>
        <v>0.31920000000000004</v>
      </c>
      <c r="AJ153" s="73">
        <f>AH153*0.6</f>
        <v>0.95760000000000001</v>
      </c>
      <c r="AK153" s="73">
        <f>AH153*0.2</f>
        <v>0.31920000000000004</v>
      </c>
      <c r="AL153" s="45"/>
    </row>
    <row r="154" spans="1:38" s="46" customFormat="1" ht="26.25" customHeight="1">
      <c r="A154" s="36">
        <v>151</v>
      </c>
      <c r="B154" s="53" t="s">
        <v>19</v>
      </c>
      <c r="C154" s="38" t="s">
        <v>21</v>
      </c>
      <c r="D154" s="38" t="s">
        <v>70</v>
      </c>
      <c r="E154" s="71">
        <v>45624</v>
      </c>
      <c r="F154" s="72"/>
      <c r="G154" s="73"/>
      <c r="H154" s="73"/>
      <c r="I154" s="73"/>
      <c r="J154" s="75"/>
      <c r="K154" s="73"/>
      <c r="L154" s="74"/>
      <c r="M154" s="74"/>
      <c r="N154" s="102"/>
      <c r="O154" s="102"/>
      <c r="P154" s="102"/>
      <c r="Q154" s="102"/>
      <c r="R154" s="102"/>
      <c r="S154" s="75"/>
      <c r="T154" s="75"/>
      <c r="U154" s="75"/>
      <c r="V154" s="44"/>
      <c r="W154" s="42"/>
      <c r="X154" s="42"/>
      <c r="Y154" s="42"/>
      <c r="Z154" s="42"/>
      <c r="AA154" s="44"/>
      <c r="AB154" s="42"/>
      <c r="AC154" s="42"/>
      <c r="AD154" s="42"/>
      <c r="AE154" s="73"/>
      <c r="AF154" s="45"/>
      <c r="AG154" s="73"/>
      <c r="AH154" s="73" t="s">
        <v>207</v>
      </c>
      <c r="AI154" s="73">
        <f>AH154*0.2-0.251*2-0.074*2</f>
        <v>0.12400000000000003</v>
      </c>
      <c r="AJ154" s="73">
        <f>AH154*0.6-0.7714*2</f>
        <v>0.77920000000000011</v>
      </c>
      <c r="AK154" s="73">
        <f>AH154*0.2</f>
        <v>0.77400000000000002</v>
      </c>
      <c r="AL154" s="45"/>
    </row>
    <row r="155" spans="1:38" s="46" customFormat="1" ht="26.25" customHeight="1">
      <c r="A155" s="36">
        <v>152</v>
      </c>
      <c r="B155" s="53" t="s">
        <v>19</v>
      </c>
      <c r="C155" s="38" t="s">
        <v>35</v>
      </c>
      <c r="D155" s="38" t="s">
        <v>70</v>
      </c>
      <c r="E155" s="71">
        <v>45624</v>
      </c>
      <c r="F155" s="120">
        <v>0.20399999999999999</v>
      </c>
      <c r="G155" s="73">
        <f>F155*0.2-0.0215*1.2</f>
        <v>1.5000000000000006E-2</v>
      </c>
      <c r="H155" s="73">
        <f>F155*0.6</f>
        <v>0.12239999999999998</v>
      </c>
      <c r="I155" s="73">
        <f>F155*0.2</f>
        <v>4.0800000000000003E-2</v>
      </c>
      <c r="J155" s="75"/>
      <c r="K155" s="73"/>
      <c r="L155" s="74"/>
      <c r="M155" s="74"/>
      <c r="N155" s="102"/>
      <c r="O155" s="102"/>
      <c r="P155" s="102"/>
      <c r="Q155" s="102"/>
      <c r="R155" s="102"/>
      <c r="S155" s="75"/>
      <c r="T155" s="75"/>
      <c r="U155" s="75"/>
      <c r="V155" s="44"/>
      <c r="W155" s="42"/>
      <c r="X155" s="42"/>
      <c r="Y155" s="42"/>
      <c r="Z155" s="42"/>
      <c r="AA155" s="44"/>
      <c r="AB155" s="42"/>
      <c r="AC155" s="42"/>
      <c r="AD155" s="42"/>
      <c r="AE155" s="73"/>
      <c r="AF155" s="45"/>
      <c r="AG155" s="73"/>
      <c r="AH155" s="73"/>
      <c r="AI155" s="73"/>
      <c r="AJ155" s="73"/>
      <c r="AK155" s="73"/>
      <c r="AL155" s="45"/>
    </row>
    <row r="156" spans="1:38" s="46" customFormat="1" ht="26.25" customHeight="1">
      <c r="A156" s="36">
        <v>153</v>
      </c>
      <c r="B156" s="53" t="s">
        <v>19</v>
      </c>
      <c r="C156" s="38" t="s">
        <v>208</v>
      </c>
      <c r="D156" s="38" t="s">
        <v>70</v>
      </c>
      <c r="E156" s="71">
        <v>45609</v>
      </c>
      <c r="F156" s="72"/>
      <c r="G156" s="73"/>
      <c r="H156" s="73"/>
      <c r="I156" s="73"/>
      <c r="J156" s="75"/>
      <c r="K156" s="73"/>
      <c r="L156" s="74"/>
      <c r="M156" s="74"/>
      <c r="N156" s="102"/>
      <c r="O156" s="102"/>
      <c r="P156" s="102"/>
      <c r="Q156" s="102"/>
      <c r="R156" s="102"/>
      <c r="S156" s="75"/>
      <c r="T156" s="75"/>
      <c r="U156" s="75"/>
      <c r="V156" s="44"/>
      <c r="W156" s="42"/>
      <c r="X156" s="42"/>
      <c r="Y156" s="42"/>
      <c r="Z156" s="42"/>
      <c r="AA156" s="44"/>
      <c r="AB156" s="42"/>
      <c r="AC156" s="42"/>
      <c r="AD156" s="42">
        <v>0.02</v>
      </c>
      <c r="AE156" s="73">
        <f>AD156*0.2</f>
        <v>4.0000000000000001E-3</v>
      </c>
      <c r="AF156" s="73">
        <f t="shared" ref="AF156:AF163" si="4">AD156*0.6</f>
        <v>1.2E-2</v>
      </c>
      <c r="AG156" s="73">
        <f t="shared" ref="AG156:AG166" si="5">AD156*0.2</f>
        <v>4.0000000000000001E-3</v>
      </c>
      <c r="AH156" s="73"/>
      <c r="AI156" s="73"/>
      <c r="AJ156" s="73"/>
      <c r="AK156" s="73"/>
      <c r="AL156" s="45"/>
    </row>
    <row r="157" spans="1:38" s="46" customFormat="1" ht="26.25" customHeight="1">
      <c r="A157" s="36">
        <v>154</v>
      </c>
      <c r="B157" s="53" t="s">
        <v>19</v>
      </c>
      <c r="C157" s="38" t="s">
        <v>35</v>
      </c>
      <c r="D157" s="38" t="s">
        <v>70</v>
      </c>
      <c r="E157" s="71">
        <v>45674</v>
      </c>
      <c r="F157" s="72"/>
      <c r="G157" s="73"/>
      <c r="H157" s="73"/>
      <c r="I157" s="73"/>
      <c r="J157" s="75"/>
      <c r="K157" s="73"/>
      <c r="L157" s="74"/>
      <c r="M157" s="74"/>
      <c r="N157" s="102"/>
      <c r="O157" s="102"/>
      <c r="P157" s="102"/>
      <c r="Q157" s="102"/>
      <c r="R157" s="102"/>
      <c r="S157" s="75"/>
      <c r="T157" s="75"/>
      <c r="U157" s="75"/>
      <c r="V157" s="44"/>
      <c r="W157" s="42"/>
      <c r="X157" s="42"/>
      <c r="Y157" s="42"/>
      <c r="Z157" s="42"/>
      <c r="AA157" s="44"/>
      <c r="AB157" s="42"/>
      <c r="AC157" s="42"/>
      <c r="AD157" s="51">
        <v>0.18</v>
      </c>
      <c r="AE157" s="103">
        <f>AD157*0.2-0.036</f>
        <v>0</v>
      </c>
      <c r="AF157" s="73">
        <f>AD157*0.6-0.108</f>
        <v>0</v>
      </c>
      <c r="AG157" s="73">
        <f t="shared" si="5"/>
        <v>3.5999999999999997E-2</v>
      </c>
      <c r="AH157" s="76">
        <v>0.61729999999999996</v>
      </c>
      <c r="AI157" s="73">
        <f>AH157*0.2-0.021*2</f>
        <v>8.1460000000000005E-2</v>
      </c>
      <c r="AJ157" s="73">
        <f>AH157*0.6</f>
        <v>0.37037999999999999</v>
      </c>
      <c r="AK157" s="73">
        <f>AH157*0.2</f>
        <v>0.12346</v>
      </c>
      <c r="AL157" s="45"/>
    </row>
    <row r="158" spans="1:38" s="46" customFormat="1" ht="26.25" customHeight="1">
      <c r="A158" s="36">
        <v>155</v>
      </c>
      <c r="B158" s="53" t="s">
        <v>19</v>
      </c>
      <c r="C158" s="38" t="s">
        <v>209</v>
      </c>
      <c r="D158" s="38" t="s">
        <v>70</v>
      </c>
      <c r="E158" s="71">
        <v>45674</v>
      </c>
      <c r="F158" s="72"/>
      <c r="G158" s="73"/>
      <c r="H158" s="73"/>
      <c r="I158" s="73"/>
      <c r="J158" s="75"/>
      <c r="K158" s="73"/>
      <c r="L158" s="74"/>
      <c r="M158" s="74"/>
      <c r="N158" s="102"/>
      <c r="O158" s="102"/>
      <c r="P158" s="102"/>
      <c r="Q158" s="102"/>
      <c r="R158" s="102"/>
      <c r="S158" s="75"/>
      <c r="T158" s="75"/>
      <c r="U158" s="75"/>
      <c r="V158" s="44"/>
      <c r="W158" s="42"/>
      <c r="X158" s="42"/>
      <c r="Y158" s="42"/>
      <c r="Z158" s="42"/>
      <c r="AA158" s="44"/>
      <c r="AB158" s="42"/>
      <c r="AC158" s="42"/>
      <c r="AD158" s="51">
        <v>3.1036999999999999</v>
      </c>
      <c r="AE158" s="73">
        <f>AD158*0.2</f>
        <v>0.62074000000000007</v>
      </c>
      <c r="AF158" s="73">
        <f>AD158*0.6-1.8622</f>
        <v>1.9999999999686935E-5</v>
      </c>
      <c r="AG158" s="73">
        <f t="shared" si="5"/>
        <v>0.62074000000000007</v>
      </c>
      <c r="AH158" s="76">
        <v>5.4424000000000001</v>
      </c>
      <c r="AI158" s="73">
        <f>AH158*0.2-0.2047*2</f>
        <v>0.67908000000000013</v>
      </c>
      <c r="AJ158" s="73">
        <f>AH158*0.6</f>
        <v>3.2654399999999999</v>
      </c>
      <c r="AK158" s="73">
        <f>AH158*0.2</f>
        <v>1.0884800000000001</v>
      </c>
      <c r="AL158" s="45"/>
    </row>
    <row r="159" spans="1:38" s="46" customFormat="1" ht="26.25" customHeight="1">
      <c r="A159" s="36">
        <v>156</v>
      </c>
      <c r="B159" s="53" t="s">
        <v>19</v>
      </c>
      <c r="C159" s="38" t="s">
        <v>20</v>
      </c>
      <c r="D159" s="38" t="s">
        <v>70</v>
      </c>
      <c r="E159" s="71">
        <v>45674</v>
      </c>
      <c r="F159" s="72"/>
      <c r="G159" s="73"/>
      <c r="H159" s="73"/>
      <c r="I159" s="73"/>
      <c r="J159" s="75"/>
      <c r="K159" s="73"/>
      <c r="L159" s="74"/>
      <c r="M159" s="74"/>
      <c r="N159" s="102"/>
      <c r="O159" s="102"/>
      <c r="P159" s="102"/>
      <c r="Q159" s="102"/>
      <c r="R159" s="102"/>
      <c r="S159" s="75"/>
      <c r="T159" s="75"/>
      <c r="U159" s="75"/>
      <c r="V159" s="44"/>
      <c r="W159" s="42"/>
      <c r="X159" s="42"/>
      <c r="Y159" s="42"/>
      <c r="Z159" s="42"/>
      <c r="AA159" s="44"/>
      <c r="AB159" s="42"/>
      <c r="AC159" s="42"/>
      <c r="AD159" s="51">
        <v>4.18</v>
      </c>
      <c r="AE159" s="103">
        <f>AD159*0.2-0.2226*1.1-0.0907*1.1+0.319-0.5215*1.1-0.2367</f>
        <v>2.0000000000047757E-5</v>
      </c>
      <c r="AF159" s="73">
        <f>AD159*0.6-1.99*1.1-0.319</f>
        <v>-4.9960036108132044E-16</v>
      </c>
      <c r="AG159" s="73">
        <f t="shared" si="5"/>
        <v>0.83599999999999997</v>
      </c>
      <c r="AH159" s="76">
        <v>7.2493999999999996</v>
      </c>
      <c r="AI159" s="73">
        <f>AH159*0.2-0.02*2-0.2029*2</f>
        <v>1.0040800000000001</v>
      </c>
      <c r="AJ159" s="73">
        <f>AH159*0.6-0.1055*2</f>
        <v>4.1386399999999997</v>
      </c>
      <c r="AK159" s="73">
        <f>AH159*0.2</f>
        <v>1.4498800000000001</v>
      </c>
      <c r="AL159" s="45"/>
    </row>
    <row r="160" spans="1:38" s="46" customFormat="1" ht="26.25" customHeight="1">
      <c r="A160" s="36">
        <v>157</v>
      </c>
      <c r="B160" s="53" t="s">
        <v>19</v>
      </c>
      <c r="C160" s="38" t="s">
        <v>210</v>
      </c>
      <c r="D160" s="38" t="s">
        <v>70</v>
      </c>
      <c r="E160" s="71">
        <v>45721</v>
      </c>
      <c r="F160" s="72"/>
      <c r="G160" s="73"/>
      <c r="H160" s="73"/>
      <c r="I160" s="73"/>
      <c r="J160" s="75"/>
      <c r="K160" s="73"/>
      <c r="L160" s="74"/>
      <c r="M160" s="74"/>
      <c r="N160" s="102"/>
      <c r="O160" s="102"/>
      <c r="P160" s="102"/>
      <c r="Q160" s="102"/>
      <c r="R160" s="102"/>
      <c r="S160" s="75"/>
      <c r="T160" s="75"/>
      <c r="U160" s="75"/>
      <c r="V160" s="99">
        <v>0.4</v>
      </c>
      <c r="W160" s="42">
        <f>V160*0.2</f>
        <v>8.0000000000000016E-2</v>
      </c>
      <c r="X160" s="42">
        <f>V160*0.6</f>
        <v>0.24</v>
      </c>
      <c r="Y160" s="42">
        <f>V160*0.2</f>
        <v>8.0000000000000016E-2</v>
      </c>
      <c r="Z160" s="49">
        <v>1.871</v>
      </c>
      <c r="AA160" s="44">
        <f>Z160*0.2</f>
        <v>0.37420000000000003</v>
      </c>
      <c r="AB160" s="42">
        <f>Z160*0.6</f>
        <v>1.1226</v>
      </c>
      <c r="AC160" s="42">
        <f>Z160*0.2</f>
        <v>0.37420000000000003</v>
      </c>
      <c r="AD160" s="49">
        <v>0.443</v>
      </c>
      <c r="AE160" s="103">
        <f>AD160*0.2+0.229+0.2367-0.44*1.1+0.036-0.0858*1.1-0.0119</f>
        <v>1.999999999997143E-5</v>
      </c>
      <c r="AF160" s="73">
        <f t="shared" si="4"/>
        <v>0.26579999999999998</v>
      </c>
      <c r="AG160" s="73">
        <f t="shared" si="5"/>
        <v>8.8600000000000012E-2</v>
      </c>
      <c r="AH160" s="76"/>
      <c r="AI160" s="73"/>
      <c r="AJ160" s="73"/>
      <c r="AK160" s="73"/>
      <c r="AL160" s="45"/>
    </row>
    <row r="161" spans="1:39" s="119" customFormat="1" ht="26.25" customHeight="1">
      <c r="A161" s="36">
        <v>158</v>
      </c>
      <c r="B161" s="105" t="s">
        <v>19</v>
      </c>
      <c r="C161" s="106" t="s">
        <v>211</v>
      </c>
      <c r="D161" s="106" t="s">
        <v>70</v>
      </c>
      <c r="E161" s="107">
        <v>45721</v>
      </c>
      <c r="F161" s="108"/>
      <c r="G161" s="109"/>
      <c r="H161" s="109"/>
      <c r="I161" s="109"/>
      <c r="J161" s="110"/>
      <c r="K161" s="109"/>
      <c r="L161" s="111"/>
      <c r="M161" s="111"/>
      <c r="N161" s="112"/>
      <c r="O161" s="112"/>
      <c r="P161" s="112"/>
      <c r="Q161" s="112"/>
      <c r="R161" s="112"/>
      <c r="S161" s="110"/>
      <c r="T161" s="110"/>
      <c r="U161" s="110"/>
      <c r="V161" s="116"/>
      <c r="W161" s="114"/>
      <c r="X161" s="114"/>
      <c r="Y161" s="114"/>
      <c r="Z161" s="114"/>
      <c r="AA161" s="116"/>
      <c r="AB161" s="114"/>
      <c r="AC161" s="114"/>
      <c r="AD161" s="115">
        <v>1.2E-2</v>
      </c>
      <c r="AE161" s="121">
        <f>AD161*0.2-0.0024</f>
        <v>0</v>
      </c>
      <c r="AF161" s="109">
        <f t="shared" si="4"/>
        <v>7.1999999999999998E-3</v>
      </c>
      <c r="AG161" s="109">
        <f t="shared" si="5"/>
        <v>2.4000000000000002E-3</v>
      </c>
      <c r="AH161" s="122"/>
      <c r="AI161" s="109"/>
      <c r="AJ161" s="109"/>
      <c r="AK161" s="109"/>
      <c r="AL161" s="118"/>
      <c r="AM161" s="123"/>
    </row>
    <row r="162" spans="1:39" s="119" customFormat="1" ht="26.25" customHeight="1">
      <c r="A162" s="36">
        <v>159</v>
      </c>
      <c r="B162" s="105" t="s">
        <v>19</v>
      </c>
      <c r="C162" s="106" t="s">
        <v>212</v>
      </c>
      <c r="D162" s="106" t="s">
        <v>70</v>
      </c>
      <c r="E162" s="107">
        <v>45721</v>
      </c>
      <c r="F162" s="108"/>
      <c r="G162" s="109"/>
      <c r="H162" s="109"/>
      <c r="I162" s="109"/>
      <c r="J162" s="110"/>
      <c r="K162" s="109"/>
      <c r="L162" s="111"/>
      <c r="M162" s="111"/>
      <c r="N162" s="112"/>
      <c r="O162" s="112"/>
      <c r="P162" s="112"/>
      <c r="Q162" s="112"/>
      <c r="R162" s="112"/>
      <c r="S162" s="110"/>
      <c r="T162" s="110"/>
      <c r="U162" s="110"/>
      <c r="V162" s="116"/>
      <c r="W162" s="114"/>
      <c r="X162" s="114"/>
      <c r="Y162" s="114"/>
      <c r="Z162" s="114"/>
      <c r="AA162" s="116"/>
      <c r="AB162" s="114"/>
      <c r="AC162" s="114"/>
      <c r="AD162" s="115">
        <v>6.6100000000000006E-2</v>
      </c>
      <c r="AE162" s="121">
        <f>AD162*0.2-0.0132</f>
        <v>2.0000000000002655E-5</v>
      </c>
      <c r="AF162" s="109">
        <f t="shared" si="4"/>
        <v>3.9660000000000001E-2</v>
      </c>
      <c r="AG162" s="109">
        <f t="shared" si="5"/>
        <v>1.3220000000000003E-2</v>
      </c>
      <c r="AH162" s="122"/>
      <c r="AI162" s="109"/>
      <c r="AJ162" s="109"/>
      <c r="AK162" s="109"/>
      <c r="AL162" s="118"/>
      <c r="AM162" s="123"/>
    </row>
    <row r="163" spans="1:39" s="119" customFormat="1" ht="26.25" customHeight="1">
      <c r="A163" s="36">
        <v>160</v>
      </c>
      <c r="B163" s="105" t="s">
        <v>19</v>
      </c>
      <c r="C163" s="106" t="s">
        <v>213</v>
      </c>
      <c r="D163" s="106" t="s">
        <v>70</v>
      </c>
      <c r="E163" s="107">
        <v>45721</v>
      </c>
      <c r="F163" s="108"/>
      <c r="G163" s="109"/>
      <c r="H163" s="109"/>
      <c r="I163" s="109"/>
      <c r="J163" s="110"/>
      <c r="K163" s="109"/>
      <c r="L163" s="111"/>
      <c r="M163" s="111"/>
      <c r="N163" s="112"/>
      <c r="O163" s="112"/>
      <c r="P163" s="112"/>
      <c r="Q163" s="112"/>
      <c r="R163" s="112"/>
      <c r="S163" s="110"/>
      <c r="T163" s="110"/>
      <c r="U163" s="110"/>
      <c r="V163" s="116"/>
      <c r="W163" s="114"/>
      <c r="X163" s="114"/>
      <c r="Y163" s="114"/>
      <c r="Z163" s="114"/>
      <c r="AA163" s="116"/>
      <c r="AB163" s="114"/>
      <c r="AC163" s="114"/>
      <c r="AD163" s="115">
        <v>1.01E-2</v>
      </c>
      <c r="AE163" s="121">
        <f>AD163*0.2-0.002</f>
        <v>2.0000000000000052E-5</v>
      </c>
      <c r="AF163" s="109">
        <f t="shared" si="4"/>
        <v>6.0599999999999994E-3</v>
      </c>
      <c r="AG163" s="109">
        <f t="shared" si="5"/>
        <v>2.0200000000000001E-3</v>
      </c>
      <c r="AH163" s="122"/>
      <c r="AI163" s="109"/>
      <c r="AJ163" s="109"/>
      <c r="AK163" s="109"/>
      <c r="AL163" s="118"/>
    </row>
    <row r="164" spans="1:39" s="119" customFormat="1" ht="26.25" customHeight="1">
      <c r="A164" s="36">
        <v>161</v>
      </c>
      <c r="B164" s="105" t="s">
        <v>19</v>
      </c>
      <c r="C164" s="106" t="s">
        <v>214</v>
      </c>
      <c r="D164" s="106" t="s">
        <v>70</v>
      </c>
      <c r="E164" s="107">
        <v>45721</v>
      </c>
      <c r="F164" s="108"/>
      <c r="G164" s="109"/>
      <c r="H164" s="109"/>
      <c r="I164" s="109"/>
      <c r="J164" s="110"/>
      <c r="K164" s="109"/>
      <c r="L164" s="111"/>
      <c r="M164" s="111"/>
      <c r="N164" s="112"/>
      <c r="O164" s="112"/>
      <c r="P164" s="112"/>
      <c r="Q164" s="112"/>
      <c r="R164" s="112"/>
      <c r="S164" s="110"/>
      <c r="T164" s="110"/>
      <c r="U164" s="110"/>
      <c r="V164" s="124">
        <v>1.08</v>
      </c>
      <c r="W164" s="114">
        <f>V164*0.2</f>
        <v>0.21600000000000003</v>
      </c>
      <c r="X164" s="114">
        <f>V164*0.6</f>
        <v>0.64800000000000002</v>
      </c>
      <c r="Y164" s="114">
        <f>V164*0.2</f>
        <v>0.21600000000000003</v>
      </c>
      <c r="Z164" s="115">
        <v>2.16</v>
      </c>
      <c r="AA164" s="116">
        <f>Z164*0.2</f>
        <v>0.43200000000000005</v>
      </c>
      <c r="AB164" s="114">
        <f>Z164*0.6</f>
        <v>1.296</v>
      </c>
      <c r="AC164" s="114">
        <f>Z164*0.2</f>
        <v>0.43200000000000005</v>
      </c>
      <c r="AD164" s="115">
        <v>0.22800000000000001</v>
      </c>
      <c r="AE164" s="121">
        <f>AD164*0.2-0.0456</f>
        <v>0</v>
      </c>
      <c r="AF164" s="109">
        <f>AD164*0.6-0.13683</f>
        <v>-3.0000000000002247E-5</v>
      </c>
      <c r="AG164" s="109">
        <f t="shared" si="5"/>
        <v>4.5600000000000002E-2</v>
      </c>
      <c r="AH164" s="122"/>
      <c r="AI164" s="109"/>
      <c r="AJ164" s="109"/>
      <c r="AK164" s="109"/>
      <c r="AL164" s="118"/>
    </row>
    <row r="165" spans="1:39" s="119" customFormat="1" ht="26.25" customHeight="1">
      <c r="A165" s="36">
        <v>162</v>
      </c>
      <c r="B165" s="105" t="s">
        <v>19</v>
      </c>
      <c r="C165" s="106" t="s">
        <v>215</v>
      </c>
      <c r="D165" s="106" t="s">
        <v>70</v>
      </c>
      <c r="E165" s="107">
        <v>45750</v>
      </c>
      <c r="F165" s="108"/>
      <c r="G165" s="109"/>
      <c r="H165" s="109"/>
      <c r="I165" s="109"/>
      <c r="J165" s="110"/>
      <c r="K165" s="109"/>
      <c r="L165" s="111"/>
      <c r="M165" s="111"/>
      <c r="N165" s="112"/>
      <c r="O165" s="112"/>
      <c r="P165" s="112"/>
      <c r="Q165" s="112"/>
      <c r="R165" s="112"/>
      <c r="S165" s="110"/>
      <c r="T165" s="110"/>
      <c r="U165" s="110"/>
      <c r="V165" s="124">
        <v>1.6E-2</v>
      </c>
      <c r="W165" s="114">
        <f>V165*0.2</f>
        <v>3.2000000000000002E-3</v>
      </c>
      <c r="X165" s="114">
        <f>V165*0.6</f>
        <v>9.5999999999999992E-3</v>
      </c>
      <c r="Y165" s="114">
        <f>V165*0.2</f>
        <v>3.2000000000000002E-3</v>
      </c>
      <c r="Z165" s="115">
        <v>7.4999999999999997E-2</v>
      </c>
      <c r="AA165" s="116">
        <f>Z165*0.2</f>
        <v>1.4999999999999999E-2</v>
      </c>
      <c r="AB165" s="114">
        <f>Z165*0.6</f>
        <v>4.4999999999999998E-2</v>
      </c>
      <c r="AC165" s="114">
        <f>Z165*0.2</f>
        <v>1.4999999999999999E-2</v>
      </c>
      <c r="AD165" s="115">
        <v>1.0999999999999999E-2</v>
      </c>
      <c r="AE165" s="121">
        <f>AD165*0.2-0.0022</f>
        <v>0</v>
      </c>
      <c r="AF165" s="109">
        <f>AD165*0.6</f>
        <v>6.5999999999999991E-3</v>
      </c>
      <c r="AG165" s="109">
        <f t="shared" si="5"/>
        <v>2.2000000000000001E-3</v>
      </c>
      <c r="AH165" s="122"/>
      <c r="AI165" s="109"/>
      <c r="AJ165" s="109"/>
      <c r="AK165" s="109"/>
      <c r="AL165" s="118"/>
    </row>
    <row r="166" spans="1:39" s="119" customFormat="1" ht="26.25" customHeight="1">
      <c r="A166" s="36">
        <v>163</v>
      </c>
      <c r="B166" s="105" t="s">
        <v>19</v>
      </c>
      <c r="C166" s="106" t="s">
        <v>210</v>
      </c>
      <c r="D166" s="106" t="s">
        <v>70</v>
      </c>
      <c r="E166" s="107">
        <v>45750</v>
      </c>
      <c r="F166" s="108"/>
      <c r="G166" s="109"/>
      <c r="H166" s="109"/>
      <c r="I166" s="109"/>
      <c r="J166" s="110"/>
      <c r="K166" s="109"/>
      <c r="L166" s="111"/>
      <c r="M166" s="111"/>
      <c r="N166" s="112"/>
      <c r="O166" s="112"/>
      <c r="P166" s="112"/>
      <c r="Q166" s="112"/>
      <c r="R166" s="112"/>
      <c r="S166" s="110"/>
      <c r="T166" s="110"/>
      <c r="U166" s="110"/>
      <c r="V166" s="124">
        <v>0.4</v>
      </c>
      <c r="W166" s="114">
        <f>V166*0.2</f>
        <v>8.0000000000000016E-2</v>
      </c>
      <c r="X166" s="114">
        <f>V166*0.6</f>
        <v>0.24</v>
      </c>
      <c r="Y166" s="114">
        <f>V166*0.2</f>
        <v>8.0000000000000016E-2</v>
      </c>
      <c r="Z166" s="115">
        <v>1.871</v>
      </c>
      <c r="AA166" s="116">
        <f>Z166*0.2</f>
        <v>0.37420000000000003</v>
      </c>
      <c r="AB166" s="114">
        <f>Z166*0.6</f>
        <v>1.1226</v>
      </c>
      <c r="AC166" s="114">
        <f>Z166*0.2</f>
        <v>0.37420000000000003</v>
      </c>
      <c r="AD166" s="115">
        <v>0.443</v>
      </c>
      <c r="AE166" s="121">
        <f>AD166*0.2-0.0886</f>
        <v>0</v>
      </c>
      <c r="AF166" s="109">
        <f>AD166*0.6</f>
        <v>0.26579999999999998</v>
      </c>
      <c r="AG166" s="109">
        <f t="shared" si="5"/>
        <v>8.8600000000000012E-2</v>
      </c>
      <c r="AH166" s="122"/>
      <c r="AI166" s="109"/>
      <c r="AJ166" s="109"/>
      <c r="AK166" s="109"/>
      <c r="AL166" s="118"/>
    </row>
    <row r="167" spans="1:39" s="46" customFormat="1" ht="26.25" customHeight="1">
      <c r="A167" s="36">
        <v>164</v>
      </c>
      <c r="B167" s="48" t="s">
        <v>18</v>
      </c>
      <c r="C167" s="39" t="s">
        <v>216</v>
      </c>
      <c r="D167" s="39" t="s">
        <v>70</v>
      </c>
      <c r="E167" s="39" t="s">
        <v>186</v>
      </c>
      <c r="F167" s="41">
        <v>0.93</v>
      </c>
      <c r="G167" s="42">
        <f>F167*0.2-0.144*1.2-0.0132</f>
        <v>4.5102810375396984E-17</v>
      </c>
      <c r="H167" s="42">
        <f>F167*0.6-0.558</f>
        <v>0</v>
      </c>
      <c r="I167" s="42">
        <f>F167*0.2</f>
        <v>0.18600000000000003</v>
      </c>
      <c r="J167" s="44">
        <v>6.3E-2</v>
      </c>
      <c r="K167" s="42">
        <f>J167*0.2</f>
        <v>1.26E-2</v>
      </c>
      <c r="L167" s="43">
        <f>J167*0.6-0.0378</f>
        <v>0</v>
      </c>
      <c r="M167" s="43">
        <f>J167*0.2</f>
        <v>1.26E-2</v>
      </c>
      <c r="N167" s="54"/>
      <c r="O167" s="54"/>
      <c r="P167" s="54"/>
      <c r="Q167" s="54"/>
      <c r="R167" s="54">
        <v>7.1999999999999998E-3</v>
      </c>
      <c r="S167" s="44">
        <f>R167*0.2</f>
        <v>1.4400000000000001E-3</v>
      </c>
      <c r="T167" s="44">
        <f>R167*0.6</f>
        <v>4.3200000000000001E-3</v>
      </c>
      <c r="U167" s="44">
        <f>R167*0.2</f>
        <v>1.4400000000000001E-3</v>
      </c>
      <c r="V167" s="44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5"/>
    </row>
    <row r="168" spans="1:39" s="46" customFormat="1" ht="26.25" customHeight="1">
      <c r="A168" s="36">
        <v>165</v>
      </c>
      <c r="B168" s="48" t="s">
        <v>18</v>
      </c>
      <c r="C168" s="39" t="s">
        <v>217</v>
      </c>
      <c r="D168" s="39" t="s">
        <v>70</v>
      </c>
      <c r="E168" s="39" t="s">
        <v>186</v>
      </c>
      <c r="F168" s="41">
        <v>15.888</v>
      </c>
      <c r="G168" s="42">
        <f>F168*0.2-0.194*1.2-2.9448</f>
        <v>0</v>
      </c>
      <c r="H168" s="42">
        <f>F168*0.6-9.5328</f>
        <v>0</v>
      </c>
      <c r="I168" s="42">
        <f>F168*0.2</f>
        <v>3.1776</v>
      </c>
      <c r="J168" s="44">
        <v>0.121</v>
      </c>
      <c r="K168" s="42">
        <f>J168*0.2</f>
        <v>2.4199999999999999E-2</v>
      </c>
      <c r="L168" s="43">
        <f>J168*0.6-0.0726</f>
        <v>0</v>
      </c>
      <c r="M168" s="43">
        <f>J168*0.2</f>
        <v>2.4199999999999999E-2</v>
      </c>
      <c r="N168" s="54">
        <v>0.20349999999999999</v>
      </c>
      <c r="O168" s="54">
        <f>N168*0.2</f>
        <v>4.07E-2</v>
      </c>
      <c r="P168" s="54">
        <f>N168*0.6-0.1221</f>
        <v>0</v>
      </c>
      <c r="Q168" s="54">
        <f>N168*0.2</f>
        <v>4.07E-2</v>
      </c>
      <c r="R168" s="54">
        <v>0.32</v>
      </c>
      <c r="S168" s="44">
        <f>R168*0.2</f>
        <v>6.4000000000000001E-2</v>
      </c>
      <c r="T168" s="44">
        <f>R168*0.6</f>
        <v>0.192</v>
      </c>
      <c r="U168" s="44">
        <f>R168*0.2</f>
        <v>6.4000000000000001E-2</v>
      </c>
      <c r="V168" s="44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5"/>
    </row>
    <row r="169" spans="1:39" s="46" customFormat="1" ht="26.25" customHeight="1">
      <c r="A169" s="36">
        <v>166</v>
      </c>
      <c r="B169" s="53" t="s">
        <v>18</v>
      </c>
      <c r="C169" s="39" t="s">
        <v>218</v>
      </c>
      <c r="D169" s="39" t="s">
        <v>70</v>
      </c>
      <c r="E169" s="40">
        <v>45012</v>
      </c>
      <c r="F169" s="41"/>
      <c r="G169" s="44"/>
      <c r="H169" s="44"/>
      <c r="I169" s="44"/>
      <c r="J169" s="44"/>
      <c r="K169" s="44"/>
      <c r="L169" s="54"/>
      <c r="M169" s="54"/>
      <c r="N169" s="54"/>
      <c r="O169" s="54"/>
      <c r="P169" s="54"/>
      <c r="Q169" s="54"/>
      <c r="R169" s="54"/>
      <c r="S169" s="44"/>
      <c r="T169" s="44"/>
      <c r="U169" s="44"/>
      <c r="V169" s="125">
        <v>2.4117999999999999</v>
      </c>
      <c r="W169" s="42">
        <f>V169*0.2</f>
        <v>0.48236000000000001</v>
      </c>
      <c r="X169" s="42">
        <f>V169*0.6-0.04*1.1</f>
        <v>1.4030799999999999</v>
      </c>
      <c r="Y169" s="42">
        <f>V169*0.2</f>
        <v>0.48236000000000001</v>
      </c>
      <c r="Z169" s="42">
        <v>9.5686999999999998</v>
      </c>
      <c r="AA169" s="42">
        <f>Z169*0.2+0.006-0.0935*1.2</f>
        <v>1.8075399999999999</v>
      </c>
      <c r="AB169" s="42">
        <f>Z169*0.6-0.139*1.2</f>
        <v>5.574419999999999</v>
      </c>
      <c r="AC169" s="42">
        <f>Z169*0.2</f>
        <v>1.91374</v>
      </c>
      <c r="AD169" s="42"/>
      <c r="AE169" s="42"/>
      <c r="AF169" s="42"/>
      <c r="AG169" s="42"/>
      <c r="AH169" s="42">
        <v>1.0128999999999999</v>
      </c>
      <c r="AI169" s="42">
        <f>AH169*0.2-0.091*2</f>
        <v>2.0579999999999987E-2</v>
      </c>
      <c r="AJ169" s="42">
        <f>AH169*0.6-0.6077</f>
        <v>3.9999999999928981E-5</v>
      </c>
      <c r="AK169" s="42">
        <f>AH169*0.2</f>
        <v>0.20257999999999998</v>
      </c>
      <c r="AL169" s="45"/>
    </row>
    <row r="170" spans="1:39" s="46" customFormat="1" ht="26.25" customHeight="1">
      <c r="A170" s="36">
        <v>167</v>
      </c>
      <c r="B170" s="48" t="s">
        <v>18</v>
      </c>
      <c r="C170" s="39" t="s">
        <v>219</v>
      </c>
      <c r="D170" s="39" t="s">
        <v>70</v>
      </c>
      <c r="E170" s="40">
        <v>45134</v>
      </c>
      <c r="F170" s="41">
        <v>0.3</v>
      </c>
      <c r="G170" s="44">
        <f>F170*0.2</f>
        <v>0.06</v>
      </c>
      <c r="H170" s="44">
        <f>F170*0.6</f>
        <v>0.18</v>
      </c>
      <c r="I170" s="44">
        <f>F170*0.2</f>
        <v>0.06</v>
      </c>
      <c r="J170" s="44">
        <v>0.04</v>
      </c>
      <c r="K170" s="44">
        <f>J170*0.2</f>
        <v>8.0000000000000002E-3</v>
      </c>
      <c r="L170" s="54">
        <f>J170*0.6</f>
        <v>2.4E-2</v>
      </c>
      <c r="M170" s="54">
        <f>J170*0.2</f>
        <v>8.0000000000000002E-3</v>
      </c>
      <c r="N170" s="54">
        <v>0.1018</v>
      </c>
      <c r="O170" s="54">
        <f>N170*0.2</f>
        <v>2.0360000000000003E-2</v>
      </c>
      <c r="P170" s="54">
        <f>N170*0.6</f>
        <v>6.1079999999999995E-2</v>
      </c>
      <c r="Q170" s="54">
        <f>N170*0.2</f>
        <v>2.0360000000000003E-2</v>
      </c>
      <c r="R170" s="54">
        <v>5.0000000000000001E-3</v>
      </c>
      <c r="S170" s="44">
        <f>R170*0.2</f>
        <v>1E-3</v>
      </c>
      <c r="T170" s="44">
        <f>R170*0.6</f>
        <v>3.0000000000000001E-3</v>
      </c>
      <c r="U170" s="44">
        <f>R170*0.2</f>
        <v>1E-3</v>
      </c>
      <c r="V170" s="125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5"/>
    </row>
    <row r="171" spans="1:39" s="46" customFormat="1" ht="26.25" customHeight="1">
      <c r="A171" s="36">
        <v>168</v>
      </c>
      <c r="B171" s="53" t="s">
        <v>18</v>
      </c>
      <c r="C171" s="39" t="s">
        <v>220</v>
      </c>
      <c r="D171" s="39" t="s">
        <v>70</v>
      </c>
      <c r="E171" s="40">
        <v>45176</v>
      </c>
      <c r="F171" s="39">
        <v>15</v>
      </c>
      <c r="G171" s="126">
        <f>F171*0.2</f>
        <v>3</v>
      </c>
      <c r="H171" s="44">
        <f>F171*0.6+0.156+3.9776-8.8247*1.1</f>
        <v>3.4264299999999999</v>
      </c>
      <c r="I171" s="126">
        <f>F171*0.2</f>
        <v>3</v>
      </c>
      <c r="J171" s="126">
        <v>1.5</v>
      </c>
      <c r="K171" s="44">
        <f>J171*0.2</f>
        <v>0.30000000000000004</v>
      </c>
      <c r="L171" s="54">
        <f>J171*0.6</f>
        <v>0.89999999999999991</v>
      </c>
      <c r="M171" s="54">
        <f>J171*0.2</f>
        <v>0.30000000000000004</v>
      </c>
      <c r="N171" s="127">
        <v>4.5</v>
      </c>
      <c r="O171" s="54">
        <f>N171*0.2</f>
        <v>0.9</v>
      </c>
      <c r="P171" s="54">
        <f>N171*0.6-0.0883*1.1-1.0896*1.1</f>
        <v>1.4043099999999997</v>
      </c>
      <c r="Q171" s="54">
        <f>N171*0.2</f>
        <v>0.9</v>
      </c>
      <c r="R171" s="127">
        <v>9.7000000000000003E-2</v>
      </c>
      <c r="S171" s="44">
        <f>R171*0.2</f>
        <v>1.9400000000000001E-2</v>
      </c>
      <c r="T171" s="44">
        <f>R171*0.6</f>
        <v>5.8200000000000002E-2</v>
      </c>
      <c r="U171" s="44">
        <f>R171*0.2</f>
        <v>1.9400000000000001E-2</v>
      </c>
      <c r="V171" s="128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58"/>
      <c r="AI171" s="130"/>
      <c r="AJ171" s="130"/>
      <c r="AK171" s="130"/>
      <c r="AL171" s="45"/>
    </row>
    <row r="172" spans="1:39" s="46" customFormat="1" ht="26.25" customHeight="1">
      <c r="A172" s="36">
        <v>169</v>
      </c>
      <c r="B172" s="48" t="s">
        <v>18</v>
      </c>
      <c r="C172" s="39" t="s">
        <v>220</v>
      </c>
      <c r="D172" s="39" t="s">
        <v>70</v>
      </c>
      <c r="E172" s="40">
        <v>45264</v>
      </c>
      <c r="F172" s="39"/>
      <c r="G172" s="126"/>
      <c r="H172" s="44"/>
      <c r="I172" s="126"/>
      <c r="J172" s="126"/>
      <c r="K172" s="44"/>
      <c r="L172" s="54"/>
      <c r="M172" s="54"/>
      <c r="N172" s="127"/>
      <c r="O172" s="54"/>
      <c r="P172" s="54"/>
      <c r="Q172" s="54"/>
      <c r="R172" s="127"/>
      <c r="S172" s="44"/>
      <c r="T172" s="44"/>
      <c r="U172" s="44"/>
      <c r="V172" s="128"/>
      <c r="W172" s="129"/>
      <c r="X172" s="129"/>
      <c r="Y172" s="129"/>
      <c r="Z172" s="129"/>
      <c r="AA172" s="129"/>
      <c r="AB172" s="129"/>
      <c r="AC172" s="129"/>
      <c r="AD172" s="129">
        <v>4.54</v>
      </c>
      <c r="AE172" s="51">
        <f>AD172*0.2+0.2044+0.2829-0.589*1.1-0.4336*1.1</f>
        <v>0.27043999999999996</v>
      </c>
      <c r="AF172" s="129">
        <f>AD172*0.6</f>
        <v>2.7239999999999998</v>
      </c>
      <c r="AG172" s="129">
        <f>AD172*0.2</f>
        <v>0.90800000000000003</v>
      </c>
      <c r="AH172" s="58">
        <v>0.109</v>
      </c>
      <c r="AI172" s="130">
        <f>AH172*0.2-0.022</f>
        <v>-1.9999999999999879E-4</v>
      </c>
      <c r="AJ172" s="130">
        <f>AH172*0.6-0.065</f>
        <v>3.9999999999999758E-4</v>
      </c>
      <c r="AK172" s="130">
        <f>AH172*0.2</f>
        <v>2.18E-2</v>
      </c>
      <c r="AL172" s="45"/>
    </row>
    <row r="173" spans="1:39" s="46" customFormat="1" ht="26.25" customHeight="1">
      <c r="A173" s="36">
        <v>170</v>
      </c>
      <c r="B173" s="48" t="s">
        <v>18</v>
      </c>
      <c r="C173" s="39" t="s">
        <v>218</v>
      </c>
      <c r="D173" s="39" t="s">
        <v>70</v>
      </c>
      <c r="E173" s="40">
        <v>45176</v>
      </c>
      <c r="F173" s="39">
        <v>75</v>
      </c>
      <c r="G173" s="126">
        <f>F173*0.2</f>
        <v>15</v>
      </c>
      <c r="H173" s="44">
        <f>F173*0.6-5.916+1.9412+6.48-15.9831*1.1-16.1299-10.8374</f>
        <v>2.9564900000000005</v>
      </c>
      <c r="I173" s="126">
        <f>F173*0.2</f>
        <v>15</v>
      </c>
      <c r="J173" s="126">
        <v>6</v>
      </c>
      <c r="K173" s="44">
        <f>J173*0.2</f>
        <v>1.2000000000000002</v>
      </c>
      <c r="L173" s="54">
        <f>J173*0.6+(0.436+0.2025)+(0.0062+0.0186)+(0.102+0.306)-1.982*1.1-0.26</f>
        <v>2.2311000000000005</v>
      </c>
      <c r="M173" s="54">
        <f>J173*0.2</f>
        <v>1.2000000000000002</v>
      </c>
      <c r="N173" s="127">
        <v>18</v>
      </c>
      <c r="O173" s="54">
        <f>N173*0.2</f>
        <v>3.6</v>
      </c>
      <c r="P173" s="54">
        <f>N173*0.6+2.0919+(0.0186+0.0558)+(0.3708+1.1124)-6.579*1.1-1.78+1.972+2.3803+0.352+1.056-6.6091*1.1-0.6449-0.8704</f>
        <v>2.4075900000000017</v>
      </c>
      <c r="Q173" s="54">
        <f>N173*0.2</f>
        <v>3.6</v>
      </c>
      <c r="R173" s="127">
        <v>0.75</v>
      </c>
      <c r="S173" s="128">
        <f>R173*0.2</f>
        <v>0.15000000000000002</v>
      </c>
      <c r="T173" s="128">
        <f>R173*0.6-0.039</f>
        <v>0.41099999999999998</v>
      </c>
      <c r="U173" s="128">
        <f>R173*0.2</f>
        <v>0.15000000000000002</v>
      </c>
      <c r="V173" s="128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58"/>
      <c r="AI173" s="130"/>
      <c r="AJ173" s="130"/>
      <c r="AK173" s="130"/>
      <c r="AL173" s="45"/>
    </row>
    <row r="174" spans="1:39" s="46" customFormat="1" ht="26.25" customHeight="1">
      <c r="A174" s="36">
        <v>171</v>
      </c>
      <c r="B174" s="48" t="s">
        <v>18</v>
      </c>
      <c r="C174" s="38" t="s">
        <v>221</v>
      </c>
      <c r="D174" s="39" t="s">
        <v>70</v>
      </c>
      <c r="E174" s="40">
        <v>45264</v>
      </c>
      <c r="F174" s="39"/>
      <c r="G174" s="126"/>
      <c r="H174" s="44"/>
      <c r="I174" s="126"/>
      <c r="J174" s="126"/>
      <c r="K174" s="44"/>
      <c r="L174" s="54"/>
      <c r="M174" s="54"/>
      <c r="N174" s="127"/>
      <c r="O174" s="54"/>
      <c r="P174" s="54"/>
      <c r="Q174" s="54"/>
      <c r="R174" s="127"/>
      <c r="S174" s="128"/>
      <c r="T174" s="128"/>
      <c r="U174" s="128"/>
      <c r="V174" s="128">
        <v>0.4</v>
      </c>
      <c r="W174" s="129">
        <f>V174*0.2-0.072*1.1</f>
        <v>8.0000000000000904E-4</v>
      </c>
      <c r="X174" s="129">
        <f>V174*0.6</f>
        <v>0.24</v>
      </c>
      <c r="Y174" s="129">
        <f>V174*0.2</f>
        <v>8.0000000000000016E-2</v>
      </c>
      <c r="Z174" s="129">
        <v>4.7869999999999999</v>
      </c>
      <c r="AA174" s="51">
        <f>Z174*0.2-0.3366*1.2</f>
        <v>0.55347999999999997</v>
      </c>
      <c r="AB174" s="129">
        <f>Z174*0.6</f>
        <v>2.8721999999999999</v>
      </c>
      <c r="AC174" s="129">
        <f>Z174*0.2</f>
        <v>0.95740000000000003</v>
      </c>
      <c r="AD174" s="129">
        <v>1.022</v>
      </c>
      <c r="AE174" s="129">
        <f>AD174*0.2-0.2044</f>
        <v>0</v>
      </c>
      <c r="AF174" s="129">
        <f>AD174*0.6-0.309*1.1</f>
        <v>0.27329999999999993</v>
      </c>
      <c r="AG174" s="129">
        <f>AD174*0.2</f>
        <v>0.20440000000000003</v>
      </c>
      <c r="AH174" s="58">
        <v>0.16800000000000001</v>
      </c>
      <c r="AI174" s="130">
        <f>AH174*0.2-0.034</f>
        <v>-3.9999999999999758E-4</v>
      </c>
      <c r="AJ174" s="130">
        <f>AH174*0.6-0.101</f>
        <v>-2.0000000000000573E-4</v>
      </c>
      <c r="AK174" s="130">
        <f>AH174*0.2</f>
        <v>3.3600000000000005E-2</v>
      </c>
      <c r="AL174" s="45"/>
    </row>
    <row r="175" spans="1:39" s="46" customFormat="1" ht="26.25" customHeight="1">
      <c r="A175" s="36">
        <v>172</v>
      </c>
      <c r="B175" s="48" t="s">
        <v>18</v>
      </c>
      <c r="C175" s="38" t="s">
        <v>222</v>
      </c>
      <c r="D175" s="39" t="s">
        <v>70</v>
      </c>
      <c r="E175" s="40">
        <v>45264</v>
      </c>
      <c r="F175" s="39"/>
      <c r="G175" s="126"/>
      <c r="H175" s="44"/>
      <c r="I175" s="126"/>
      <c r="J175" s="126"/>
      <c r="K175" s="44"/>
      <c r="L175" s="54"/>
      <c r="M175" s="54"/>
      <c r="N175" s="127"/>
      <c r="O175" s="54"/>
      <c r="P175" s="54"/>
      <c r="Q175" s="54"/>
      <c r="R175" s="127"/>
      <c r="S175" s="128"/>
      <c r="T175" s="128"/>
      <c r="U175" s="128"/>
      <c r="V175" s="128">
        <v>0.52</v>
      </c>
      <c r="W175" s="129">
        <f>V175*0.2</f>
        <v>0.10400000000000001</v>
      </c>
      <c r="X175" s="129">
        <f>V175*0.6</f>
        <v>0.312</v>
      </c>
      <c r="Y175" s="129">
        <f>V175*0.2</f>
        <v>0.10400000000000001</v>
      </c>
      <c r="Z175" s="129">
        <v>2.0630999999999999</v>
      </c>
      <c r="AA175" s="129">
        <f>Z175*0.2</f>
        <v>0.41261999999999999</v>
      </c>
      <c r="AB175" s="129">
        <f>Z175*0.6</f>
        <v>1.23786</v>
      </c>
      <c r="AC175" s="129">
        <f>Z175*0.2</f>
        <v>0.41261999999999999</v>
      </c>
      <c r="AD175" s="129">
        <v>1.4145000000000001</v>
      </c>
      <c r="AE175" s="129">
        <f>AD175*0.2-0.2829</f>
        <v>0</v>
      </c>
      <c r="AF175" s="129">
        <f>AD175*0.6</f>
        <v>0.84870000000000001</v>
      </c>
      <c r="AG175" s="129">
        <f>AD175*0.2</f>
        <v>0.28290000000000004</v>
      </c>
      <c r="AH175" s="58">
        <v>0.21840000000000001</v>
      </c>
      <c r="AI175" s="58">
        <f>AH175*0.2+0.022+0.034-0.0427*2</f>
        <v>1.4280000000000001E-2</v>
      </c>
      <c r="AJ175" s="130">
        <f>AH175*0.6</f>
        <v>0.13103999999999999</v>
      </c>
      <c r="AK175" s="130">
        <f>AH175*0.2</f>
        <v>4.3680000000000004E-2</v>
      </c>
      <c r="AL175" s="45"/>
    </row>
    <row r="176" spans="1:39" s="46" customFormat="1" ht="26.25" customHeight="1">
      <c r="A176" s="36">
        <v>173</v>
      </c>
      <c r="B176" s="48" t="s">
        <v>18</v>
      </c>
      <c r="C176" s="38" t="s">
        <v>33</v>
      </c>
      <c r="D176" s="39" t="s">
        <v>70</v>
      </c>
      <c r="E176" s="40">
        <v>45316</v>
      </c>
      <c r="F176" s="39"/>
      <c r="G176" s="126"/>
      <c r="H176" s="44"/>
      <c r="I176" s="126"/>
      <c r="J176" s="126"/>
      <c r="K176" s="44"/>
      <c r="L176" s="54"/>
      <c r="M176" s="54"/>
      <c r="N176" s="127"/>
      <c r="O176" s="54"/>
      <c r="P176" s="54"/>
      <c r="Q176" s="54"/>
      <c r="R176" s="127"/>
      <c r="S176" s="128"/>
      <c r="T176" s="128"/>
      <c r="U176" s="128"/>
      <c r="V176" s="128">
        <v>0.66</v>
      </c>
      <c r="W176" s="129">
        <f>V176*0.2</f>
        <v>0.13200000000000001</v>
      </c>
      <c r="X176" s="129">
        <f>V176*0.6</f>
        <v>0.39600000000000002</v>
      </c>
      <c r="Y176" s="129">
        <f>V176*0.2</f>
        <v>0.13200000000000001</v>
      </c>
      <c r="Z176" s="129">
        <v>2.6185999999999998</v>
      </c>
      <c r="AA176" s="129">
        <f>Z176*0.2</f>
        <v>0.52371999999999996</v>
      </c>
      <c r="AB176" s="129">
        <f>Z176*0.6</f>
        <v>1.5711599999999999</v>
      </c>
      <c r="AC176" s="129">
        <f>Z176*0.2</f>
        <v>0.52371999999999996</v>
      </c>
      <c r="AD176" s="129">
        <v>0.70730000000000004</v>
      </c>
      <c r="AE176" s="129">
        <f>AD176*0.2</f>
        <v>0.14146</v>
      </c>
      <c r="AF176" s="129">
        <f>AD176*0.6</f>
        <v>0.42438000000000003</v>
      </c>
      <c r="AG176" s="129">
        <f>AD176*0.2</f>
        <v>0.14146</v>
      </c>
      <c r="AH176" s="58">
        <v>0.2772</v>
      </c>
      <c r="AI176" s="58">
        <f>AH176*0.2-0.0163*2</f>
        <v>2.2840000000000006E-2</v>
      </c>
      <c r="AJ176" s="130">
        <f>AH176*0.6-0.166</f>
        <v>3.1999999999998696E-4</v>
      </c>
      <c r="AK176" s="130">
        <f>AH176*0.2</f>
        <v>5.5440000000000003E-2</v>
      </c>
      <c r="AL176" s="45"/>
    </row>
    <row r="177" spans="1:38" s="46" customFormat="1" ht="26.25" customHeight="1">
      <c r="A177" s="36">
        <v>174</v>
      </c>
      <c r="B177" s="48" t="s">
        <v>18</v>
      </c>
      <c r="C177" s="39" t="s">
        <v>144</v>
      </c>
      <c r="D177" s="39"/>
      <c r="E177" s="40"/>
      <c r="F177" s="39"/>
      <c r="G177" s="126"/>
      <c r="H177" s="44"/>
      <c r="I177" s="126"/>
      <c r="J177" s="126"/>
      <c r="K177" s="44"/>
      <c r="L177" s="54">
        <v>0.1104</v>
      </c>
      <c r="M177" s="54"/>
      <c r="N177" s="127"/>
      <c r="O177" s="54"/>
      <c r="P177" s="54">
        <v>0.1221</v>
      </c>
      <c r="Q177" s="54"/>
      <c r="R177" s="127"/>
      <c r="S177" s="128"/>
      <c r="T177" s="128"/>
      <c r="U177" s="128"/>
      <c r="V177" s="128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58"/>
      <c r="AI177" s="130"/>
      <c r="AJ177" s="130"/>
      <c r="AK177" s="130"/>
      <c r="AL177" s="56" t="s">
        <v>223</v>
      </c>
    </row>
    <row r="178" spans="1:38" s="46" customFormat="1" ht="26.25" customHeight="1">
      <c r="A178" s="36">
        <v>175</v>
      </c>
      <c r="B178" s="48" t="s">
        <v>18</v>
      </c>
      <c r="C178" s="39" t="s">
        <v>224</v>
      </c>
      <c r="D178" s="39" t="s">
        <v>70</v>
      </c>
      <c r="E178" s="40">
        <v>45791</v>
      </c>
      <c r="F178" s="39"/>
      <c r="G178" s="126"/>
      <c r="H178" s="44"/>
      <c r="I178" s="126"/>
      <c r="J178" s="126"/>
      <c r="K178" s="44"/>
      <c r="L178" s="54"/>
      <c r="M178" s="54"/>
      <c r="N178" s="127"/>
      <c r="O178" s="54"/>
      <c r="P178" s="54"/>
      <c r="Q178" s="54"/>
      <c r="R178" s="127"/>
      <c r="S178" s="128"/>
      <c r="T178" s="128"/>
      <c r="U178" s="128"/>
      <c r="V178" s="128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49">
        <v>10.4498</v>
      </c>
      <c r="AI178" s="130">
        <f>AH178*0.2</f>
        <v>2.08996</v>
      </c>
      <c r="AJ178" s="130">
        <f>AH178*0.6</f>
        <v>6.2698799999999997</v>
      </c>
      <c r="AK178" s="130">
        <f>AH178*0.2</f>
        <v>2.08996</v>
      </c>
      <c r="AL178" s="45"/>
    </row>
    <row r="179" spans="1:38" s="46" customFormat="1" ht="26.25" customHeight="1">
      <c r="A179" s="36">
        <v>176</v>
      </c>
      <c r="B179" s="48" t="s">
        <v>18</v>
      </c>
      <c r="C179" s="38" t="s">
        <v>225</v>
      </c>
      <c r="D179" s="39" t="s">
        <v>70</v>
      </c>
      <c r="E179" s="40">
        <v>45644</v>
      </c>
      <c r="F179" s="39"/>
      <c r="G179" s="126"/>
      <c r="H179" s="44"/>
      <c r="I179" s="126"/>
      <c r="J179" s="126"/>
      <c r="K179" s="44"/>
      <c r="L179" s="54"/>
      <c r="M179" s="54"/>
      <c r="N179" s="127"/>
      <c r="O179" s="54"/>
      <c r="P179" s="54"/>
      <c r="Q179" s="54"/>
      <c r="R179" s="127"/>
      <c r="S179" s="128"/>
      <c r="T179" s="128"/>
      <c r="U179" s="128"/>
      <c r="V179" s="128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49">
        <v>0.40500000000000003</v>
      </c>
      <c r="AI179" s="130">
        <f>AH179*0.2</f>
        <v>8.1000000000000016E-2</v>
      </c>
      <c r="AJ179" s="130">
        <f>AH179*0.6</f>
        <v>0.24299999999999999</v>
      </c>
      <c r="AK179" s="130">
        <f>AH179*0.2</f>
        <v>8.1000000000000016E-2</v>
      </c>
      <c r="AL179" s="56"/>
    </row>
    <row r="180" spans="1:38">
      <c r="AF180" s="73"/>
    </row>
    <row r="181" spans="1:38">
      <c r="AG181" s="133"/>
      <c r="AH181" s="133"/>
    </row>
    <row r="182" spans="1:38">
      <c r="K182" s="133"/>
    </row>
    <row r="183" spans="1:38">
      <c r="K183" s="133"/>
      <c r="Y183" s="133"/>
    </row>
    <row r="184" spans="1:38">
      <c r="P184" s="134"/>
      <c r="Q184" s="134"/>
      <c r="AA184" s="133"/>
    </row>
    <row r="185" spans="1:38">
      <c r="N185" s="133"/>
    </row>
    <row r="186" spans="1:38">
      <c r="Q186" s="133"/>
    </row>
  </sheetData>
  <mergeCells count="17">
    <mergeCell ref="A1:E1"/>
    <mergeCell ref="F1:U1"/>
    <mergeCell ref="V1:AK1"/>
    <mergeCell ref="A2:A3"/>
    <mergeCell ref="B2:B3"/>
    <mergeCell ref="C2:C3"/>
    <mergeCell ref="D2:D3"/>
    <mergeCell ref="E2:E3"/>
    <mergeCell ref="F2:I2"/>
    <mergeCell ref="J2:M2"/>
    <mergeCell ref="N2:Q2"/>
    <mergeCell ref="R2:U2"/>
    <mergeCell ref="V2:Y2"/>
    <mergeCell ref="Z2:AC2"/>
    <mergeCell ref="AD2:AG2"/>
    <mergeCell ref="AH2:AK2"/>
    <mergeCell ref="AL2:AL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2025-10-20T02:48:48Z</dcterms:modified>
</cp:coreProperties>
</file>